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0545"/>
  </bookViews>
  <sheets>
    <sheet name="Surplus Cash Note Calculator" sheetId="1" r:id="rId1"/>
  </sheets>
  <externalReferences>
    <externalReference r:id="rId2"/>
    <externalReference r:id="rId3"/>
  </externalReferences>
  <definedNames>
    <definedName name="_ADS1">#REF!</definedName>
    <definedName name="_ADS2">#REF!</definedName>
    <definedName name="_ADS3" localSheetId="0">#REF!</definedName>
    <definedName name="_ADS3">#REF!</definedName>
    <definedName name="Allocation4">'[1]Assumptions &amp; Calculations'!$H$27</definedName>
    <definedName name="Allocation9">'[1]Assumptions &amp; Calculations'!$H$26</definedName>
    <definedName name="AMI">#REF!</definedName>
    <definedName name="AnnualRFR">#REF!</definedName>
    <definedName name="Basis">#REF!</definedName>
    <definedName name="BRAC">[2]Ranking!$G$134</definedName>
    <definedName name="creditrate">#REF!</definedName>
    <definedName name="CurrentEGI">#REF!</definedName>
    <definedName name="CurrentGrossInc">#REF!</definedName>
    <definedName name="ExpTrend">#REF!</definedName>
    <definedName name="GrossIncome">#REF!</definedName>
    <definedName name="IncTrend">#REF!</definedName>
    <definedName name="Leveraging">[2]Ranking!$G$182</definedName>
    <definedName name="Loan1">#REF!</definedName>
    <definedName name="Loan2">#REF!</definedName>
    <definedName name="Loan3">#REF!</definedName>
    <definedName name="LongTermSubsidy">[2]Ranking!$G$229</definedName>
    <definedName name="MBE">[2]Ranking!$G$93</definedName>
    <definedName name="Nonprofit">[2]Ranking!$G$96</definedName>
    <definedName name="payin">#REF!</definedName>
    <definedName name="_xlnm.Print_Area" localSheetId="0">'Surplus Cash Note Calculator'!$F$14:$Y$97</definedName>
    <definedName name="Rural">[2]Ranking!$G$145</definedName>
    <definedName name="StableEGI">#REF!</definedName>
    <definedName name="StableOper">#REF!</definedName>
    <definedName name="StableTaxe">#REF!</definedName>
    <definedName name="TDC">#REF!</definedName>
    <definedName name="TotalProjectCost">'[1]Development Costs'!$D$75</definedName>
    <definedName name="units">#REF!</definedName>
    <definedName name="vacancy">#REF!</definedName>
  </definedNames>
  <calcPr calcId="145621"/>
</workbook>
</file>

<file path=xl/calcChain.xml><?xml version="1.0" encoding="utf-8"?>
<calcChain xmlns="http://schemas.openxmlformats.org/spreadsheetml/2006/main">
  <c r="Z8" i="1" l="1"/>
  <c r="G143" i="1"/>
  <c r="G142" i="1"/>
  <c r="G141" i="1"/>
  <c r="G140" i="1"/>
  <c r="AH134" i="1"/>
  <c r="I133" i="1"/>
  <c r="H134" i="1" s="1"/>
  <c r="AI132" i="1"/>
  <c r="AH132" i="1"/>
  <c r="I132" i="1"/>
  <c r="H132" i="1"/>
  <c r="D132" i="1"/>
  <c r="L131" i="1"/>
  <c r="K131" i="1"/>
  <c r="AE132" i="1" s="1"/>
  <c r="AI130" i="1"/>
  <c r="AH130" i="1"/>
  <c r="I130" i="1"/>
  <c r="H130" i="1"/>
  <c r="L129" i="1"/>
  <c r="AC130" i="1" s="1"/>
  <c r="AI128" i="1"/>
  <c r="AH128" i="1"/>
  <c r="I128" i="1"/>
  <c r="H128" i="1"/>
  <c r="D128" i="1"/>
  <c r="L127" i="1"/>
  <c r="AC128" i="1" s="1"/>
  <c r="K127" i="1"/>
  <c r="AE128" i="1" s="1"/>
  <c r="AI126" i="1"/>
  <c r="AH126" i="1"/>
  <c r="I126" i="1"/>
  <c r="H126" i="1"/>
  <c r="L125" i="1"/>
  <c r="AC126" i="1" s="1"/>
  <c r="AI124" i="1"/>
  <c r="AH124" i="1"/>
  <c r="I124" i="1"/>
  <c r="H124" i="1"/>
  <c r="D124" i="1"/>
  <c r="L123" i="1"/>
  <c r="AC124" i="1" s="1"/>
  <c r="K123" i="1"/>
  <c r="AE124" i="1" s="1"/>
  <c r="A123" i="1"/>
  <c r="G123" i="1" s="1"/>
  <c r="AI122" i="1"/>
  <c r="AH122" i="1"/>
  <c r="I122" i="1"/>
  <c r="H122" i="1"/>
  <c r="L121" i="1"/>
  <c r="AC122" i="1" s="1"/>
  <c r="A121" i="1"/>
  <c r="G121" i="1" s="1"/>
  <c r="AI120" i="1"/>
  <c r="AH120" i="1"/>
  <c r="AE120" i="1"/>
  <c r="I120" i="1"/>
  <c r="H120" i="1"/>
  <c r="D120" i="1"/>
  <c r="K119" i="1"/>
  <c r="L119" i="1" s="1"/>
  <c r="G119" i="1"/>
  <c r="G114" i="1"/>
  <c r="G112" i="1"/>
  <c r="G111" i="1"/>
  <c r="D109" i="1"/>
  <c r="A109" i="1"/>
  <c r="A110" i="1" s="1"/>
  <c r="A113" i="1" s="1"/>
  <c r="G113" i="1" s="1"/>
  <c r="A108" i="1"/>
  <c r="G108" i="1" s="1"/>
  <c r="C89" i="1"/>
  <c r="B89" i="1"/>
  <c r="AB132" i="1" s="1"/>
  <c r="AE88" i="1"/>
  <c r="AE67" i="1" s="1"/>
  <c r="D88" i="1"/>
  <c r="C88" i="1"/>
  <c r="A86" i="1"/>
  <c r="A84" i="1"/>
  <c r="E79" i="1"/>
  <c r="C74" i="1"/>
  <c r="L73" i="1"/>
  <c r="L74" i="1" s="1"/>
  <c r="T96" i="1" s="1"/>
  <c r="J73" i="1"/>
  <c r="J74" i="1" s="1"/>
  <c r="S96" i="1" s="1"/>
  <c r="E73" i="1"/>
  <c r="W67" i="1"/>
  <c r="B67" i="1"/>
  <c r="W66" i="1"/>
  <c r="I66" i="1"/>
  <c r="H66" i="1"/>
  <c r="AB65" i="1"/>
  <c r="W65" i="1"/>
  <c r="W64" i="1"/>
  <c r="AE63" i="1"/>
  <c r="W63" i="1"/>
  <c r="W62" i="1"/>
  <c r="I62" i="1"/>
  <c r="B63" i="1" s="1"/>
  <c r="H62" i="1"/>
  <c r="AB61" i="1"/>
  <c r="W61" i="1"/>
  <c r="W60" i="1"/>
  <c r="AE59" i="1"/>
  <c r="W59" i="1"/>
  <c r="B59" i="1"/>
  <c r="W58" i="1"/>
  <c r="I58" i="1"/>
  <c r="H58" i="1"/>
  <c r="AB57" i="1"/>
  <c r="W57" i="1"/>
  <c r="W56" i="1"/>
  <c r="W55" i="1"/>
  <c r="W54" i="1"/>
  <c r="I54" i="1"/>
  <c r="B55" i="1" s="1"/>
  <c r="H54" i="1"/>
  <c r="AB53" i="1"/>
  <c r="W53" i="1"/>
  <c r="W52" i="1"/>
  <c r="W51" i="1"/>
  <c r="B51" i="1"/>
  <c r="W50" i="1"/>
  <c r="I50" i="1"/>
  <c r="H50" i="1"/>
  <c r="AB49" i="1"/>
  <c r="W49" i="1"/>
  <c r="W48" i="1"/>
  <c r="AE47" i="1"/>
  <c r="W47" i="1"/>
  <c r="W46" i="1"/>
  <c r="I46" i="1"/>
  <c r="B47" i="1" s="1"/>
  <c r="H46" i="1"/>
  <c r="AB45" i="1"/>
  <c r="W45" i="1"/>
  <c r="W44" i="1"/>
  <c r="A44" i="1"/>
  <c r="A48" i="1" s="1"/>
  <c r="A52" i="1" s="1"/>
  <c r="A56" i="1" s="1"/>
  <c r="A60" i="1" s="1"/>
  <c r="A64" i="1" s="1"/>
  <c r="W43" i="1"/>
  <c r="B43" i="1"/>
  <c r="W42" i="1"/>
  <c r="I42" i="1"/>
  <c r="H42" i="1"/>
  <c r="AB41" i="1"/>
  <c r="W41" i="1"/>
  <c r="W40" i="1"/>
  <c r="A40" i="1"/>
  <c r="W39" i="1"/>
  <c r="I39" i="1"/>
  <c r="H39" i="1"/>
  <c r="B39" i="1"/>
  <c r="W38" i="1"/>
  <c r="AB37" i="1"/>
  <c r="W37" i="1"/>
  <c r="W36" i="1"/>
  <c r="C36" i="1"/>
  <c r="D35" i="1"/>
  <c r="C35" i="1"/>
  <c r="G83" i="1" s="1"/>
  <c r="B35" i="1"/>
  <c r="G85" i="1" s="1"/>
  <c r="G84" i="1" s="1"/>
  <c r="M12" i="1"/>
  <c r="H12" i="1"/>
  <c r="M11" i="1"/>
  <c r="H11" i="1"/>
  <c r="M10" i="1"/>
  <c r="H10" i="1"/>
  <c r="M9" i="1"/>
  <c r="H9" i="1"/>
  <c r="M8" i="1"/>
  <c r="C8" i="1"/>
  <c r="C10" i="1" s="1"/>
  <c r="L3" i="1"/>
  <c r="K3" i="1"/>
  <c r="J3" i="1"/>
  <c r="L2" i="1"/>
  <c r="K2" i="1"/>
  <c r="J2" i="1"/>
  <c r="M3" i="1" l="1"/>
  <c r="C107" i="1" s="1"/>
  <c r="G107" i="1" s="1"/>
  <c r="AB122" i="1"/>
  <c r="AD122" i="1" s="1"/>
  <c r="E123" i="1"/>
  <c r="E127" i="1"/>
  <c r="E131" i="1"/>
  <c r="AE39" i="1"/>
  <c r="AE43" i="1"/>
  <c r="AE51" i="1"/>
  <c r="AE55" i="1"/>
  <c r="G88" i="1"/>
  <c r="AB126" i="1"/>
  <c r="AD126" i="1" s="1"/>
  <c r="AB130" i="1"/>
  <c r="AD130" i="1" s="1"/>
  <c r="W96" i="1"/>
  <c r="E97" i="1" s="1"/>
  <c r="M2" i="1"/>
  <c r="C119" i="1"/>
  <c r="D39" i="1"/>
  <c r="L40" i="1"/>
  <c r="D55" i="1"/>
  <c r="K52" i="1" s="1"/>
  <c r="D63" i="1"/>
  <c r="K60" i="1" s="1"/>
  <c r="AE86" i="1"/>
  <c r="G110" i="1"/>
  <c r="E119" i="1"/>
  <c r="G87" i="1"/>
  <c r="E40" i="1"/>
  <c r="D43" i="1"/>
  <c r="L52" i="1"/>
  <c r="L60" i="1"/>
  <c r="AJ132" i="1" s="1"/>
  <c r="D67" i="1"/>
  <c r="K64" i="1" s="1"/>
  <c r="A90" i="1"/>
  <c r="G86" i="1"/>
  <c r="G109" i="1"/>
  <c r="AC120" i="1"/>
  <c r="S73" i="1"/>
  <c r="D89" i="1"/>
  <c r="J119" i="1"/>
  <c r="D122" i="1"/>
  <c r="AJ122" i="1"/>
  <c r="J123" i="1"/>
  <c r="E124" i="1" s="1"/>
  <c r="A125" i="1"/>
  <c r="D126" i="1"/>
  <c r="J127" i="1"/>
  <c r="D130" i="1"/>
  <c r="J131" i="1"/>
  <c r="E132" i="1" s="1"/>
  <c r="AC132" i="1"/>
  <c r="AD132" i="1" s="1"/>
  <c r="I134" i="1"/>
  <c r="AI134" i="1"/>
  <c r="AB120" i="1"/>
  <c r="AB124" i="1"/>
  <c r="AD124" i="1" s="1"/>
  <c r="AB128" i="1"/>
  <c r="AD128" i="1" s="1"/>
  <c r="D134" i="1"/>
  <c r="K133" i="1" l="1"/>
  <c r="E129" i="1"/>
  <c r="K129" i="1"/>
  <c r="M127" i="1"/>
  <c r="P127" i="1"/>
  <c r="M119" i="1"/>
  <c r="P119" i="1"/>
  <c r="AB134" i="1"/>
  <c r="L133" i="1"/>
  <c r="E133" i="1" s="1"/>
  <c r="E128" i="1"/>
  <c r="A127" i="1"/>
  <c r="G125" i="1"/>
  <c r="M123" i="1"/>
  <c r="P123" i="1"/>
  <c r="E121" i="1"/>
  <c r="K121" i="1"/>
  <c r="G89" i="1"/>
  <c r="AE87" i="1"/>
  <c r="E120" i="1"/>
  <c r="D51" i="1"/>
  <c r="K48" i="1" s="1"/>
  <c r="K40" i="1"/>
  <c r="J40" i="1" s="1"/>
  <c r="L64" i="1"/>
  <c r="J64" i="1" s="1"/>
  <c r="J60" i="1"/>
  <c r="D59" i="1"/>
  <c r="K56" i="1" s="1"/>
  <c r="D47" i="1"/>
  <c r="K44" i="1" s="1"/>
  <c r="L36" i="1"/>
  <c r="M131" i="1"/>
  <c r="P131" i="1"/>
  <c r="E125" i="1"/>
  <c r="K125" i="1"/>
  <c r="AD120" i="1"/>
  <c r="A91" i="1"/>
  <c r="G90" i="1"/>
  <c r="C63" i="1"/>
  <c r="X62" i="1"/>
  <c r="AC61" i="1"/>
  <c r="AD61" i="1" s="1"/>
  <c r="AE60" i="1"/>
  <c r="AJ128" i="1"/>
  <c r="C55" i="1"/>
  <c r="X54" i="1"/>
  <c r="AC53" i="1"/>
  <c r="AD53" i="1" s="1"/>
  <c r="AE52" i="1"/>
  <c r="E60" i="1"/>
  <c r="J52" i="1"/>
  <c r="AC41" i="1"/>
  <c r="AD41" i="1" s="1"/>
  <c r="AE40" i="1"/>
  <c r="C43" i="1"/>
  <c r="X42" i="1"/>
  <c r="L44" i="1" l="1"/>
  <c r="J44" i="1" s="1"/>
  <c r="X60" i="1"/>
  <c r="P60" i="1"/>
  <c r="M60" i="1"/>
  <c r="M40" i="1"/>
  <c r="X40" i="1"/>
  <c r="P40" i="1"/>
  <c r="X64" i="1"/>
  <c r="M64" i="1"/>
  <c r="AE122" i="1"/>
  <c r="J121" i="1"/>
  <c r="AE130" i="1"/>
  <c r="J129" i="1"/>
  <c r="X52" i="1"/>
  <c r="P52" i="1"/>
  <c r="M52" i="1"/>
  <c r="A92" i="1"/>
  <c r="G92" i="1" s="1"/>
  <c r="G91" i="1"/>
  <c r="AE126" i="1"/>
  <c r="J125" i="1"/>
  <c r="K36" i="1"/>
  <c r="L56" i="1"/>
  <c r="J56" i="1" s="1"/>
  <c r="C67" i="1"/>
  <c r="X66" i="1"/>
  <c r="AC65" i="1"/>
  <c r="AD65" i="1" s="1"/>
  <c r="AE64" i="1"/>
  <c r="E64" i="1"/>
  <c r="L48" i="1"/>
  <c r="G127" i="1"/>
  <c r="A129" i="1"/>
  <c r="AJ134" i="1"/>
  <c r="AC134" i="1"/>
  <c r="AD134" i="1" s="1"/>
  <c r="J133" i="1"/>
  <c r="AE134" i="1"/>
  <c r="E52" i="1"/>
  <c r="P64" i="1" l="1"/>
  <c r="M133" i="1"/>
  <c r="P133" i="1"/>
  <c r="AC49" i="1"/>
  <c r="AD49" i="1" s="1"/>
  <c r="AE48" i="1"/>
  <c r="C51" i="1"/>
  <c r="X50" i="1"/>
  <c r="AJ126" i="1"/>
  <c r="E134" i="1"/>
  <c r="J48" i="1"/>
  <c r="AC57" i="1"/>
  <c r="AD57" i="1" s="1"/>
  <c r="AE56" i="1"/>
  <c r="C59" i="1"/>
  <c r="X58" i="1"/>
  <c r="E56" i="1"/>
  <c r="AJ130" i="1"/>
  <c r="C39" i="1"/>
  <c r="AE36" i="1"/>
  <c r="AC37" i="1"/>
  <c r="AD37" i="1" s="1"/>
  <c r="X37" i="1"/>
  <c r="K96" i="1" s="1"/>
  <c r="J36" i="1"/>
  <c r="E36" i="1"/>
  <c r="AJ120" i="1"/>
  <c r="P125" i="1"/>
  <c r="M125" i="1"/>
  <c r="E126" i="1"/>
  <c r="X53" i="1"/>
  <c r="X55" i="1" s="1"/>
  <c r="AJ124" i="1"/>
  <c r="C47" i="1"/>
  <c r="X46" i="1"/>
  <c r="AC45" i="1"/>
  <c r="AD45" i="1" s="1"/>
  <c r="AE44" i="1"/>
  <c r="E44" i="1"/>
  <c r="A131" i="1"/>
  <c r="G129" i="1"/>
  <c r="M56" i="1"/>
  <c r="X56" i="1"/>
  <c r="P129" i="1"/>
  <c r="M129" i="1"/>
  <c r="E130" i="1"/>
  <c r="P121" i="1"/>
  <c r="M121" i="1"/>
  <c r="E122" i="1"/>
  <c r="X65" i="1"/>
  <c r="X67" i="1" s="1"/>
  <c r="X41" i="1"/>
  <c r="X43" i="1" s="1"/>
  <c r="X61" i="1"/>
  <c r="X63" i="1" s="1"/>
  <c r="X44" i="1"/>
  <c r="M44" i="1"/>
  <c r="P56" i="1" l="1"/>
  <c r="P44" i="1"/>
  <c r="X45" i="1"/>
  <c r="X47" i="1" s="1"/>
  <c r="G131" i="1"/>
  <c r="A133" i="1"/>
  <c r="G133" i="1" s="1"/>
  <c r="M36" i="1"/>
  <c r="E37" i="1" s="1"/>
  <c r="X36" i="1"/>
  <c r="P36" i="1"/>
  <c r="M48" i="1"/>
  <c r="X48" i="1"/>
  <c r="P48" i="1"/>
  <c r="X57" i="1"/>
  <c r="X59" i="1" s="1"/>
  <c r="E48" i="1"/>
  <c r="J96" i="1" l="1"/>
  <c r="X38" i="1"/>
  <c r="L96" i="1" s="1"/>
  <c r="X49" i="1"/>
  <c r="X51" i="1" s="1"/>
  <c r="X39" i="1" l="1"/>
  <c r="E38" i="1" s="1"/>
  <c r="E15" i="1" s="1"/>
  <c r="G15" i="1" s="1"/>
  <c r="M96" i="1"/>
  <c r="E96" i="1" s="1"/>
</calcChain>
</file>

<file path=xl/comments1.xml><?xml version="1.0" encoding="utf-8"?>
<comments xmlns="http://schemas.openxmlformats.org/spreadsheetml/2006/main">
  <authors>
    <author>Silver, Steve</author>
    <author>HP Authorized Customer</author>
  </authors>
  <commentList>
    <comment ref="Q2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% that will trigger a greater split for Local Government</t>
        </r>
      </text>
    </comment>
    <comment ref="P3" authorId="1">
      <text>
        <r>
          <rPr>
            <b/>
            <sz val="8"/>
            <color indexed="81"/>
            <rFont val="Tahoma"/>
            <family val="2"/>
          </rPr>
          <t>HP Authorized Customer:</t>
        </r>
        <r>
          <rPr>
            <sz val="8"/>
            <color indexed="81"/>
            <rFont val="Tahoma"/>
            <family val="2"/>
          </rPr>
          <t xml:space="preserve">
Minimum Share of Surplus Cash for State</t>
        </r>
      </text>
    </comment>
    <comment ref="Q3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Maximum Local Government Split</t>
        </r>
      </text>
    </comment>
    <comment ref="C4" authorId="1">
      <text>
        <r>
          <rPr>
            <b/>
            <sz val="8"/>
            <color indexed="81"/>
            <rFont val="Tahoma"/>
            <family val="2"/>
          </rPr>
          <t>HP Authorized Customer:</t>
        </r>
        <r>
          <rPr>
            <sz val="8"/>
            <color indexed="81"/>
            <rFont val="Tahoma"/>
            <family val="2"/>
          </rPr>
          <t xml:space="preserve">
Sale Transaction Costs</t>
        </r>
      </text>
    </comment>
    <comment ref="P4" authorId="1">
      <text>
        <r>
          <rPr>
            <b/>
            <sz val="8"/>
            <color indexed="81"/>
            <rFont val="Tahoma"/>
            <family val="2"/>
          </rPr>
          <t>HP Authorized Customer:</t>
        </r>
        <r>
          <rPr>
            <sz val="8"/>
            <color indexed="81"/>
            <rFont val="Tahoma"/>
            <family val="2"/>
          </rPr>
          <t xml:space="preserve">
Minimum Local Government Amount to get Share of Cash Flows</t>
        </r>
      </text>
    </comment>
    <comment ref="Q4" authorId="1">
      <text>
        <r>
          <rPr>
            <b/>
            <sz val="8"/>
            <color indexed="81"/>
            <rFont val="Tahoma"/>
            <family val="2"/>
          </rPr>
          <t>HP Authorized Customer:</t>
        </r>
        <r>
          <rPr>
            <sz val="8"/>
            <color indexed="81"/>
            <rFont val="Tahoma"/>
            <family val="2"/>
          </rPr>
          <t xml:space="preserve">
Minimum Share of Surplus Cash for State</t>
        </r>
      </text>
    </comment>
    <comment ref="P5" authorId="1">
      <text>
        <r>
          <rPr>
            <b/>
            <sz val="8"/>
            <color indexed="81"/>
            <rFont val="Tahoma"/>
            <family val="2"/>
          </rPr>
          <t>HP Authorized Customer:</t>
        </r>
        <r>
          <rPr>
            <sz val="8"/>
            <color indexed="81"/>
            <rFont val="Tahoma"/>
            <family val="2"/>
          </rPr>
          <t xml:space="preserve">
Minimum State % Contingent Interest</t>
        </r>
      </text>
    </comment>
    <comment ref="Q5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Maximum DHCD Percentage</t>
        </r>
      </text>
    </comment>
    <comment ref="C35" authorId="1">
      <text>
        <r>
          <rPr>
            <b/>
            <sz val="8"/>
            <color indexed="81"/>
            <rFont val="Tahoma"/>
            <family val="2"/>
          </rPr>
          <t>HP Authorized Customer:</t>
        </r>
        <r>
          <rPr>
            <sz val="8"/>
            <color indexed="81"/>
            <rFont val="Tahoma"/>
            <family val="2"/>
          </rPr>
          <t xml:space="preserve">
Minimum Share of Surplus Cash for State</t>
        </r>
      </text>
    </comment>
    <comment ref="D35" authorId="1">
      <text>
        <r>
          <rPr>
            <b/>
            <sz val="8"/>
            <color indexed="81"/>
            <rFont val="Tahoma"/>
            <family val="2"/>
          </rPr>
          <t>HP Authorized Customer:</t>
        </r>
        <r>
          <rPr>
            <sz val="8"/>
            <color indexed="81"/>
            <rFont val="Tahoma"/>
            <family val="2"/>
          </rPr>
          <t xml:space="preserve">
Minimum Local Government Amount to get Share of Cash Flows</t>
        </r>
      </text>
    </comment>
    <comment ref="B39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This is the Natural Prorated Local Government Share of the non-Developer Surplus Cash</t>
        </r>
      </text>
    </comment>
    <comment ref="C39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This is the % Split Lost to the Local Gov by NOT being 100% Prorated</t>
        </r>
      </text>
    </comment>
    <comment ref="B43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This is the Natural Prorated Local Government Share of the non-Developer Surplus Cash</t>
        </r>
      </text>
    </comment>
    <comment ref="C43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This is the % Split Lost to the Local Gov by NOT being 100% Prorated</t>
        </r>
      </text>
    </comment>
    <comment ref="B47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This is the Natural Prorated Local Government Share of the non-Developer Surplus Cash</t>
        </r>
      </text>
    </comment>
    <comment ref="C47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This is the % Split Lost to the Local Gov by NOT being 100% Prorated</t>
        </r>
      </text>
    </comment>
    <comment ref="B51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This is the Natural Prorated Local Government Share of the non-Developer Surplus Cash</t>
        </r>
      </text>
    </comment>
    <comment ref="C51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This is the % Split Lost to the Local Gov by NOT being 100% Prorated</t>
        </r>
      </text>
    </comment>
    <comment ref="B55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This is the Natural Prorated Local Government Share of the non-Developer Surplus Cash</t>
        </r>
      </text>
    </comment>
    <comment ref="C55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This is the % Split Lost to the Local Gov by NOT being 100% Prorated</t>
        </r>
      </text>
    </comment>
    <comment ref="B59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This is the Natural Prorated Local Government Share of the non-Developer Surplus Cash</t>
        </r>
      </text>
    </comment>
    <comment ref="C59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This is the % Split Lost to the Local Gov by NOT being 100% Prorated</t>
        </r>
      </text>
    </comment>
    <comment ref="B63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This is the Natural Prorated Local Government Share of the non-Developer Surplus Cash</t>
        </r>
      </text>
    </comment>
    <comment ref="C63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This is the % Split Lost to the Local Gov by NOT being 100% Prorated</t>
        </r>
      </text>
    </comment>
    <comment ref="B67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This is the Natural Prorated Local Government Share of the non-Developer Surplus Cash</t>
        </r>
      </text>
    </comment>
    <comment ref="C67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This is the % Split Lost to the Local Gov by NOT being 100% Prorated</t>
        </r>
      </text>
    </comment>
    <comment ref="E73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GROSS CHECK to verify that at least Total Project Costs are greater than soft debt.</t>
        </r>
      </text>
    </comment>
    <comment ref="C74" authorId="1">
      <text>
        <r>
          <rPr>
            <b/>
            <sz val="8"/>
            <color indexed="81"/>
            <rFont val="Tahoma"/>
            <family val="2"/>
          </rPr>
          <t>HP Authorized Customer:</t>
        </r>
        <r>
          <rPr>
            <sz val="8"/>
            <color indexed="81"/>
            <rFont val="Tahoma"/>
            <family val="2"/>
          </rPr>
          <t xml:space="preserve">
Minimum State % Contingent Interest</t>
        </r>
      </text>
    </comment>
    <comment ref="E79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GROSS CHECK to verify that the Deferred Developer Fee is not greater than the Total Project Costs.</t>
        </r>
      </text>
    </comment>
    <comment ref="C88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% that will trigger a greater split for Local Government</t>
        </r>
      </text>
    </comment>
    <comment ref="D88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Maximum Local Government Split</t>
        </r>
      </text>
    </comment>
    <comment ref="B89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Maximum DHCD Percentage</t>
        </r>
      </text>
    </comment>
    <comment ref="C89" authorId="1">
      <text>
        <r>
          <rPr>
            <b/>
            <sz val="8"/>
            <color indexed="81"/>
            <rFont val="Tahoma"/>
            <family val="2"/>
          </rPr>
          <t>HP Authorized Customer:</t>
        </r>
        <r>
          <rPr>
            <sz val="8"/>
            <color indexed="81"/>
            <rFont val="Tahoma"/>
            <family val="2"/>
          </rPr>
          <t xml:space="preserve">
Minimum Share of Surplus Cash for State</t>
        </r>
      </text>
    </comment>
    <comment ref="D89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Maximum Local Government Split if they provide a specified amount of the Total Soft Debt</t>
        </r>
      </text>
    </comment>
    <comment ref="AA92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YES will add text to the bullet to left to "See Defined Terms"</t>
        </r>
      </text>
    </comment>
    <comment ref="D107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This is the Minimum amount typically expected by DHCD</t>
        </r>
      </text>
    </comment>
    <comment ref="C108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% that will trigger a greater split for Local Government</t>
        </r>
      </text>
    </comment>
    <comment ref="D108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Maximum Local Government Split</t>
        </r>
      </text>
    </comment>
    <comment ref="B109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Maximum DHCD Percentage</t>
        </r>
      </text>
    </comment>
    <comment ref="C109" authorId="1">
      <text>
        <r>
          <rPr>
            <b/>
            <sz val="8"/>
            <color indexed="81"/>
            <rFont val="Tahoma"/>
            <family val="2"/>
          </rPr>
          <t>HP Authorized Customer:</t>
        </r>
        <r>
          <rPr>
            <sz val="8"/>
            <color indexed="81"/>
            <rFont val="Tahoma"/>
            <family val="2"/>
          </rPr>
          <t xml:space="preserve">
Minimum Share of Surplus Cash for State</t>
        </r>
      </text>
    </comment>
    <comment ref="D109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Maximum Local Government Split if they provide a specified amount of the Total Soft Debt</t>
        </r>
      </text>
    </comment>
    <comment ref="B118" authorId="0">
      <text>
        <r>
          <rPr>
            <b/>
            <sz val="9"/>
            <color indexed="81"/>
            <rFont val="Tahoma"/>
            <family val="2"/>
          </rPr>
          <t>Silver, Steve:</t>
        </r>
        <r>
          <rPr>
            <sz val="9"/>
            <color indexed="81"/>
            <rFont val="Tahoma"/>
            <family val="2"/>
          </rPr>
          <t xml:space="preserve">
Minimum Developer Share</t>
        </r>
      </text>
    </comment>
    <comment ref="C118" authorId="1">
      <text>
        <r>
          <rPr>
            <b/>
            <sz val="8"/>
            <color indexed="81"/>
            <rFont val="Tahoma"/>
            <family val="2"/>
          </rPr>
          <t>HP Authorized Customer:</t>
        </r>
        <r>
          <rPr>
            <sz val="8"/>
            <color indexed="81"/>
            <rFont val="Tahoma"/>
            <family val="2"/>
          </rPr>
          <t xml:space="preserve">
Minimum Share of Surplus Cash for State</t>
        </r>
      </text>
    </comment>
    <comment ref="D118" authorId="1">
      <text>
        <r>
          <rPr>
            <b/>
            <sz val="8"/>
            <color indexed="81"/>
            <rFont val="Tahoma"/>
            <family val="2"/>
          </rPr>
          <t>HP Authorized Customer:</t>
        </r>
        <r>
          <rPr>
            <sz val="8"/>
            <color indexed="81"/>
            <rFont val="Tahoma"/>
            <family val="2"/>
          </rPr>
          <t xml:space="preserve">
Minimum Local Government Amount to get Share of Cash Flows</t>
        </r>
      </text>
    </comment>
  </commentList>
</comments>
</file>

<file path=xl/sharedStrings.xml><?xml version="1.0" encoding="utf-8"?>
<sst xmlns="http://schemas.openxmlformats.org/spreadsheetml/2006/main" count="89" uniqueCount="74">
  <si>
    <t>Min</t>
  </si>
  <si>
    <t>DHCD</t>
  </si>
  <si>
    <t>Max</t>
  </si>
  <si>
    <t>Dev</t>
  </si>
  <si>
    <t>LG</t>
  </si>
  <si>
    <t>Option A</t>
  </si>
  <si>
    <t>Option B</t>
  </si>
  <si>
    <t>Total</t>
  </si>
  <si>
    <t>Developer Tier</t>
  </si>
  <si>
    <t>Local Portion</t>
  </si>
  <si>
    <t>Developer Share</t>
  </si>
  <si>
    <t>Local Gov Share</t>
  </si>
  <si>
    <t>State Share</t>
  </si>
  <si>
    <t>YR 17 NOI</t>
  </si>
  <si>
    <t>Low</t>
  </si>
  <si>
    <t>High</t>
  </si>
  <si>
    <t>Project Value</t>
  </si>
  <si>
    <t>DHCD will only take 50% of Surplus Cash until all Developer Deferred Fees are Paid.</t>
  </si>
  <si>
    <t>1st Debt Pay-off</t>
  </si>
  <si>
    <t xml:space="preserve"> The Local Gov can negotiate with Developer for part of the Developer's Share of Surplus Cash; however, the Developer's share can not go below 25%.</t>
  </si>
  <si>
    <t>Avail to Pay RHP &amp; LG</t>
  </si>
  <si>
    <t>The Local Government can not negotiate a higher share of the Surplus Cash with DHCD and/or Developer.</t>
  </si>
  <si>
    <t>DHCD receives 50% of Surplus Cash until Developer Deferred Fees are Paid</t>
  </si>
  <si>
    <t>(with DHCD receiving no more than 50% of Surplus Cash until Developer Deferred Fees are Paid)</t>
  </si>
  <si>
    <t>OPTION A: PROPOSED PREFERRED SURPLUS CASH OPTION</t>
  </si>
  <si>
    <t>0% Interest Rate OPTION with ''Contingent Interest''</t>
  </si>
  <si>
    <t>(enter amounts in the yellow-shaded, blue-font cells only)</t>
  </si>
  <si>
    <t>A. Surplus Cash Split Calculator</t>
  </si>
  <si>
    <t>ALL State
 Soft Debt*</t>
  </si>
  <si>
    <t>Local Government Soft Debt</t>
  </si>
  <si>
    <t>DHCD %</t>
  </si>
  <si>
    <t>Local 
Government %</t>
  </si>
  <si>
    <t>Developer %</t>
  </si>
  <si>
    <t>Total %</t>
  </si>
  <si>
    <t>Comments</t>
  </si>
  <si>
    <t>% Splits  w/ 
Deferred Dev Fees</t>
  </si>
  <si>
    <t>Prorated Split</t>
  </si>
  <si>
    <t>Allowed Split</t>
  </si>
  <si>
    <t>Difference</t>
  </si>
  <si>
    <t>NEED TO UPDATE AND FIX</t>
  </si>
  <si>
    <t>w/ no Dev Fee</t>
  </si>
  <si>
    <t>w/ Dev Fee</t>
  </si>
  <si>
    <t xml:space="preserve">  * Soft Debt includes any DHCD loan source, whether cash flow or alternative terms</t>
  </si>
  <si>
    <t>B. Allocation of Total Project Costs for Sharing in Contingent Interest Obligation</t>
  </si>
  <si>
    <t>Total Project Costs</t>
  </si>
  <si>
    <t>Dollar Amount</t>
  </si>
  <si>
    <t>% of Total Project Costs</t>
  </si>
  <si>
    <t xml:space="preserve">   * Soft Debt includes any DHCD loan source, whether cash flow or alternative terms</t>
  </si>
  <si>
    <t>C. Deferred Developer Fee</t>
  </si>
  <si>
    <t>Final Deferred Developer Fee Amount</t>
  </si>
  <si>
    <t>NOTE OF KEY SURPLUS CASH PROVISIONS UNDER THIS OPTION</t>
  </si>
  <si>
    <t>NO</t>
  </si>
  <si>
    <t>-- see Defined Terms</t>
  </si>
  <si>
    <t>1. Hypothetical Annual Surplus Cash Calculator</t>
  </si>
  <si>
    <t>2. Hypothetical Contingent Interest Payment</t>
  </si>
  <si>
    <t>Annual Cash Flow</t>
  </si>
  <si>
    <t>Unpaid Deferred Developer Fee</t>
  </si>
  <si>
    <t>Paid towards DHCD Soft Debt</t>
  </si>
  <si>
    <t>Paid towards Loc Gov Soft Debt</t>
  </si>
  <si>
    <t>Retained by Developer</t>
  </si>
  <si>
    <t>Total Cash Flow</t>
  </si>
  <si>
    <t>Available Cash Flow to Pay Contingent Interest</t>
  </si>
  <si>
    <t>Paid to DHCD</t>
  </si>
  <si>
    <t>Paid to Local Government</t>
  </si>
  <si>
    <t>Retained by Dev/Partnership</t>
  </si>
  <si>
    <t>OPTION B: PROPOSED SURPLUS CASH OPTION</t>
  </si>
  <si>
    <t>(2% Interest Rate with NO ''Equity/Contingent Interest'' Kicker)</t>
  </si>
  <si>
    <t>KEY SURPLUS CASH PROVISIONS</t>
  </si>
  <si>
    <t>State Soft Debt*</t>
  </si>
  <si>
    <t>Local Soft Debt</t>
  </si>
  <si>
    <t>Local Government %</t>
  </si>
  <si>
    <t>LG % Avail to Negotiate w/ Dev</t>
  </si>
  <si>
    <t>* Soft Debt includes any DHCD loan source, whether cash flow or not terms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</si>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</sst>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%&quot; of Total&quot;"/>
  </numFmts>
  <fonts count="79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color indexed="12"/>
      <name val="Calibri"/>
      <family val="2"/>
    </font>
    <font>
      <sz val="11"/>
      <color indexed="12"/>
      <name val="Calibri"/>
      <family val="2"/>
    </font>
    <font>
      <b/>
      <sz val="11"/>
      <color indexed="12"/>
      <name val="Calibri"/>
      <family val="2"/>
    </font>
    <font>
      <b/>
      <sz val="11"/>
      <color indexed="18"/>
      <name val="Calibri"/>
      <family val="2"/>
    </font>
    <font>
      <b/>
      <i/>
      <u/>
      <sz val="11"/>
      <color indexed="8"/>
      <name val="Calibri"/>
      <family val="2"/>
    </font>
    <font>
      <b/>
      <sz val="9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12"/>
      <name val="Calibri"/>
      <family val="2"/>
    </font>
    <font>
      <b/>
      <sz val="11"/>
      <name val="Calibri"/>
      <family val="2"/>
    </font>
    <font>
      <b/>
      <sz val="12"/>
      <color indexed="12"/>
      <name val="Calibri"/>
      <family val="2"/>
    </font>
    <font>
      <b/>
      <sz val="14"/>
      <color indexed="60"/>
      <name val="Calibri"/>
      <family val="2"/>
    </font>
    <font>
      <sz val="8"/>
      <color indexed="12"/>
      <name val="Calibri"/>
      <family val="2"/>
    </font>
    <font>
      <sz val="8"/>
      <color indexed="8"/>
      <name val="Calibri"/>
      <family val="2"/>
    </font>
    <font>
      <b/>
      <sz val="28"/>
      <color indexed="8"/>
      <name val="Calibri"/>
      <family val="2"/>
    </font>
    <font>
      <b/>
      <i/>
      <sz val="26"/>
      <color indexed="8"/>
      <name val="Calibri"/>
      <family val="2"/>
    </font>
    <font>
      <b/>
      <i/>
      <sz val="16"/>
      <color indexed="8"/>
      <name val="Calibri"/>
      <family val="2"/>
    </font>
    <font>
      <b/>
      <i/>
      <sz val="24"/>
      <color indexed="8"/>
      <name val="Calibri"/>
      <family val="2"/>
    </font>
    <font>
      <b/>
      <i/>
      <sz val="14"/>
      <color rgb="FF0000FF"/>
      <name val="Calibri"/>
      <family val="2"/>
    </font>
    <font>
      <b/>
      <i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i/>
      <sz val="18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16"/>
      <name val="Calibri"/>
      <family val="2"/>
    </font>
    <font>
      <sz val="14"/>
      <color rgb="FF990000"/>
      <name val="Calibri"/>
      <family val="2"/>
    </font>
    <font>
      <sz val="12"/>
      <color rgb="FF990000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5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6"/>
      <color indexed="12"/>
      <name val="Calibri"/>
      <family val="2"/>
    </font>
    <font>
      <b/>
      <sz val="20"/>
      <color indexed="8"/>
      <name val="Calibri"/>
      <family val="2"/>
    </font>
    <font>
      <b/>
      <sz val="20"/>
      <color theme="1"/>
      <name val="Calibri"/>
      <family val="2"/>
    </font>
    <font>
      <sz val="16"/>
      <color indexed="8"/>
      <name val="Calibri"/>
      <family val="2"/>
    </font>
    <font>
      <sz val="8"/>
      <color indexed="60"/>
      <name val="Calibri"/>
      <family val="2"/>
    </font>
    <font>
      <sz val="16"/>
      <color theme="1"/>
      <name val="Calibri"/>
      <family val="2"/>
      <scheme val="minor"/>
    </font>
    <font>
      <sz val="12"/>
      <color indexed="8"/>
      <name val="Calibri"/>
      <family val="2"/>
    </font>
    <font>
      <sz val="20"/>
      <color indexed="8"/>
      <name val="Calibri"/>
      <family val="2"/>
    </font>
    <font>
      <sz val="20"/>
      <color theme="1"/>
      <name val="Calibri"/>
      <family val="2"/>
    </font>
    <font>
      <b/>
      <sz val="20"/>
      <color indexed="16"/>
      <name val="Calibri"/>
      <family val="2"/>
    </font>
    <font>
      <b/>
      <sz val="18"/>
      <color indexed="8"/>
      <name val="Calibri"/>
      <family val="2"/>
    </font>
    <font>
      <sz val="20"/>
      <color indexed="16"/>
      <name val="Calibri"/>
      <family val="2"/>
    </font>
    <font>
      <sz val="18"/>
      <color indexed="8"/>
      <name val="Calibri"/>
      <family val="2"/>
    </font>
    <font>
      <b/>
      <i/>
      <sz val="2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rgb="FF0000FF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8"/>
      <color indexed="8"/>
      <name val="Calibri"/>
      <family val="2"/>
    </font>
    <font>
      <b/>
      <i/>
      <sz val="14"/>
      <color indexed="8"/>
      <name val="Calibri"/>
      <family val="2"/>
    </font>
    <font>
      <sz val="11"/>
      <color theme="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4"/>
      <color rgb="FF0000FF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u/>
      <sz val="20"/>
      <color indexed="8"/>
      <name val="Calibri"/>
      <family val="2"/>
    </font>
    <font>
      <sz val="14"/>
      <color indexed="12"/>
      <name val="Calibri"/>
      <family val="2"/>
    </font>
    <font>
      <b/>
      <sz val="14"/>
      <color indexed="8"/>
      <name val="Calibri"/>
      <family val="2"/>
    </font>
    <font>
      <b/>
      <sz val="18"/>
      <color indexed="16"/>
      <name val="Calibri"/>
      <family val="2"/>
    </font>
    <font>
      <sz val="11"/>
      <color indexed="16"/>
      <name val="Calibri"/>
      <family val="2"/>
    </font>
    <font>
      <sz val="14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0" fillId="0" borderId="0"/>
    <xf numFmtId="0" fontId="10" fillId="0" borderId="0"/>
    <xf numFmtId="43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0" fontId="78" fillId="0" borderId="0"/>
    <xf numFmtId="0" fontId="10" fillId="0" borderId="0"/>
    <xf numFmtId="9" fontId="78" fillId="0" borderId="0" applyFont="0" applyFill="0" applyBorder="0" applyAlignment="0" applyProtection="0"/>
  </cellStyleXfs>
  <cellXfs count="353">
    <xf numFmtId="0" fontId="0" fillId="0" borderId="0" xfId="0"/>
    <xf numFmtId="0" fontId="0" fillId="0" borderId="0" xfId="0" applyAlignment="1" applyProtection="1">
      <alignment vertical="center"/>
    </xf>
    <xf numFmtId="10" fontId="1" fillId="0" borderId="0" xfId="0" applyNumberFormat="1" applyFont="1" applyBorder="1" applyAlignment="1" applyProtection="1">
      <alignment horizontal="center" vertical="center"/>
    </xf>
    <xf numFmtId="10" fontId="2" fillId="2" borderId="0" xfId="0" applyNumberFormat="1" applyFont="1" applyFill="1" applyAlignment="1" applyProtection="1">
      <alignment horizontal="center" vertical="center"/>
    </xf>
    <xf numFmtId="10" fontId="3" fillId="0" borderId="0" xfId="0" applyNumberFormat="1" applyFont="1" applyAlignment="1" applyProtection="1">
      <alignment horizontal="left" vertical="center"/>
    </xf>
    <xf numFmtId="10" fontId="4" fillId="0" borderId="0" xfId="0" applyNumberFormat="1" applyFont="1" applyAlignment="1" applyProtection="1">
      <alignment horizontal="center" vertical="center"/>
    </xf>
    <xf numFmtId="0" fontId="0" fillId="0" borderId="0" xfId="0" applyProtection="1"/>
    <xf numFmtId="10" fontId="5" fillId="3" borderId="0" xfId="0" applyNumberFormat="1" applyFont="1" applyFill="1" applyAlignment="1" applyProtection="1">
      <alignment horizontal="center" vertical="center"/>
    </xf>
    <xf numFmtId="10" fontId="0" fillId="0" borderId="0" xfId="0" applyNumberFormat="1" applyProtection="1"/>
    <xf numFmtId="5" fontId="2" fillId="2" borderId="0" xfId="0" applyNumberFormat="1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Continuous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6" fontId="4" fillId="0" borderId="0" xfId="1" applyNumberFormat="1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0" fontId="11" fillId="0" borderId="0" xfId="0" applyNumberFormat="1" applyFont="1" applyAlignment="1" applyProtection="1">
      <alignment horizontal="center" vertical="center"/>
    </xf>
    <xf numFmtId="6" fontId="12" fillId="0" borderId="0" xfId="1" applyNumberFormat="1" applyFont="1" applyAlignment="1" applyProtection="1">
      <alignment vertical="center"/>
    </xf>
    <xf numFmtId="10" fontId="13" fillId="0" borderId="0" xfId="0" applyNumberFormat="1" applyFont="1" applyBorder="1" applyAlignment="1" applyProtection="1">
      <alignment horizontal="center" vertical="center"/>
    </xf>
    <xf numFmtId="10" fontId="11" fillId="0" borderId="0" xfId="0" applyNumberFormat="1" applyFont="1" applyBorder="1" applyAlignment="1" applyProtection="1">
      <alignment horizontal="center" vertical="center"/>
    </xf>
    <xf numFmtId="10" fontId="14" fillId="0" borderId="0" xfId="0" applyNumberFormat="1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15" fillId="0" borderId="0" xfId="0" quotePrefix="1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6" fontId="0" fillId="0" borderId="0" xfId="0" applyNumberFormat="1" applyAlignment="1" applyProtection="1">
      <alignment vertical="center"/>
    </xf>
    <xf numFmtId="10" fontId="0" fillId="0" borderId="0" xfId="0" applyNumberFormat="1" applyAlignment="1" applyProtection="1">
      <alignment vertical="center"/>
    </xf>
    <xf numFmtId="39" fontId="7" fillId="0" borderId="0" xfId="0" applyNumberFormat="1" applyFont="1" applyAlignment="1" applyProtection="1">
      <alignment horizontal="center" vertical="center"/>
    </xf>
    <xf numFmtId="0" fontId="17" fillId="0" borderId="0" xfId="2" applyFont="1" applyAlignment="1" applyProtection="1">
      <alignment horizontal="centerContinuous" vertical="center"/>
    </xf>
    <xf numFmtId="0" fontId="18" fillId="0" borderId="0" xfId="0" applyFont="1" applyAlignment="1" applyProtection="1">
      <alignment horizontal="centerContinuous" vertical="center"/>
    </xf>
    <xf numFmtId="0" fontId="19" fillId="0" borderId="0" xfId="0" applyFont="1" applyAlignment="1" applyProtection="1">
      <alignment horizontal="centerContinuous" vertical="center"/>
    </xf>
    <xf numFmtId="0" fontId="20" fillId="0" borderId="0" xfId="0" applyFont="1" applyAlignment="1" applyProtection="1">
      <alignment horizontal="centerContinuous" vertical="center"/>
    </xf>
    <xf numFmtId="0" fontId="21" fillId="0" borderId="0" xfId="0" applyFont="1" applyAlignment="1" applyProtection="1">
      <alignment horizontal="centerContinuous" vertical="center"/>
    </xf>
    <xf numFmtId="0" fontId="22" fillId="0" borderId="0" xfId="0" applyFont="1" applyAlignment="1" applyProtection="1">
      <alignment horizontal="centerContinuous" vertical="center"/>
    </xf>
    <xf numFmtId="0" fontId="22" fillId="2" borderId="0" xfId="0" applyFont="1" applyFill="1" applyAlignment="1" applyProtection="1">
      <alignment horizontal="centerContinuous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Continuous" vertical="center"/>
    </xf>
    <xf numFmtId="0" fontId="25" fillId="0" borderId="0" xfId="0" applyFont="1" applyAlignment="1" applyProtection="1">
      <alignment horizontal="left" vertical="center" indent="1"/>
    </xf>
    <xf numFmtId="0" fontId="22" fillId="0" borderId="0" xfId="0" applyFont="1" applyAlignment="1" applyProtection="1">
      <alignment horizontal="centerContinuous" vertical="center" wrapText="1"/>
    </xf>
    <xf numFmtId="0" fontId="18" fillId="0" borderId="0" xfId="0" applyFont="1" applyAlignment="1" applyProtection="1">
      <alignment horizontal="centerContinuous" vertical="center" wrapText="1"/>
    </xf>
    <xf numFmtId="0" fontId="19" fillId="0" borderId="0" xfId="0" applyFont="1" applyAlignment="1" applyProtection="1">
      <alignment horizontal="centerContinuous" vertical="center" wrapText="1"/>
    </xf>
    <xf numFmtId="10" fontId="26" fillId="0" borderId="0" xfId="0" applyNumberFormat="1" applyFont="1" applyAlignment="1" applyProtection="1">
      <alignment horizontal="center" vertical="center"/>
    </xf>
    <xf numFmtId="10" fontId="27" fillId="0" borderId="0" xfId="0" applyNumberFormat="1" applyFont="1" applyAlignment="1" applyProtection="1">
      <alignment horizontal="center" vertical="center"/>
    </xf>
    <xf numFmtId="5" fontId="28" fillId="0" borderId="0" xfId="0" applyNumberFormat="1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29" fillId="0" borderId="3" xfId="0" applyFont="1" applyBorder="1" applyAlignment="1" applyProtection="1">
      <alignment horizontal="center" vertical="center" wrapText="1"/>
    </xf>
    <xf numFmtId="0" fontId="29" fillId="0" borderId="4" xfId="0" applyFont="1" applyBorder="1" applyAlignment="1" applyProtection="1">
      <alignment horizontal="center" vertical="center" wrapText="1"/>
    </xf>
    <xf numFmtId="0" fontId="30" fillId="0" borderId="5" xfId="0" applyFont="1" applyBorder="1" applyAlignment="1" applyProtection="1">
      <alignment horizontal="center" vertical="center" wrapText="1"/>
    </xf>
    <xf numFmtId="0" fontId="30" fillId="0" borderId="6" xfId="0" applyFont="1" applyBorder="1" applyAlignment="1" applyProtection="1">
      <alignment horizontal="center" vertical="center" wrapText="1"/>
    </xf>
    <xf numFmtId="0" fontId="30" fillId="0" borderId="7" xfId="0" applyFont="1" applyBorder="1" applyAlignment="1" applyProtection="1">
      <alignment horizontal="center" vertical="center" wrapText="1"/>
    </xf>
    <xf numFmtId="0" fontId="30" fillId="0" borderId="2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vertical="center"/>
    </xf>
    <xf numFmtId="0" fontId="30" fillId="0" borderId="4" xfId="0" applyFont="1" applyBorder="1" applyAlignment="1" applyProtection="1">
      <alignment horizontal="center" vertical="center"/>
    </xf>
    <xf numFmtId="0" fontId="30" fillId="0" borderId="2" xfId="0" applyFont="1" applyBorder="1" applyAlignment="1" applyProtection="1">
      <alignment horizontal="center" vertical="center"/>
    </xf>
    <xf numFmtId="0" fontId="30" fillId="0" borderId="2" xfId="0" applyFont="1" applyBorder="1" applyAlignment="1" applyProtection="1">
      <alignment horizontal="centerContinuous" vertical="center" wrapText="1"/>
    </xf>
    <xf numFmtId="0" fontId="0" fillId="0" borderId="8" xfId="0" applyBorder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 wrapText="1"/>
    </xf>
    <xf numFmtId="10" fontId="32" fillId="0" borderId="0" xfId="0" applyNumberFormat="1" applyFont="1" applyAlignment="1" applyProtection="1">
      <alignment horizontal="center" vertical="center"/>
    </xf>
    <xf numFmtId="0" fontId="0" fillId="0" borderId="12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8" fillId="0" borderId="12" xfId="0" quotePrefix="1" applyFont="1" applyBorder="1" applyAlignment="1" applyProtection="1">
      <alignment vertical="center"/>
    </xf>
    <xf numFmtId="0" fontId="8" fillId="0" borderId="17" xfId="0" quotePrefix="1" applyFont="1" applyBorder="1" applyAlignment="1" applyProtection="1">
      <alignment vertical="center"/>
    </xf>
    <xf numFmtId="0" fontId="10" fillId="0" borderId="18" xfId="0" quotePrefix="1" applyFont="1" applyBorder="1" applyAlignment="1" applyProtection="1">
      <alignment vertical="center"/>
    </xf>
    <xf numFmtId="10" fontId="30" fillId="0" borderId="19" xfId="0" quotePrefix="1" applyNumberFormat="1" applyFont="1" applyBorder="1" applyAlignment="1" applyProtection="1">
      <alignment horizontal="right" vertical="center" indent="1"/>
    </xf>
    <xf numFmtId="0" fontId="0" fillId="0" borderId="20" xfId="0" applyBorder="1" applyAlignment="1" applyProtection="1">
      <alignment vertical="center"/>
    </xf>
    <xf numFmtId="0" fontId="36" fillId="0" borderId="0" xfId="0" applyFont="1" applyAlignment="1" applyProtection="1">
      <alignment vertical="center"/>
    </xf>
    <xf numFmtId="0" fontId="37" fillId="3" borderId="0" xfId="0" applyFont="1" applyFill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0" fillId="3" borderId="0" xfId="0" applyFill="1" applyProtection="1"/>
    <xf numFmtId="0" fontId="0" fillId="0" borderId="23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8" fillId="0" borderId="23" xfId="0" quotePrefix="1" applyFont="1" applyBorder="1" applyAlignment="1" applyProtection="1">
      <alignment vertical="center"/>
    </xf>
    <xf numFmtId="0" fontId="8" fillId="0" borderId="27" xfId="0" quotePrefix="1" applyFont="1" applyBorder="1" applyAlignment="1" applyProtection="1">
      <alignment vertical="center"/>
    </xf>
    <xf numFmtId="10" fontId="10" fillId="0" borderId="28" xfId="0" quotePrefix="1" applyNumberFormat="1" applyFont="1" applyBorder="1" applyAlignment="1" applyProtection="1">
      <alignment vertical="center"/>
    </xf>
    <xf numFmtId="10" fontId="30" fillId="0" borderId="29" xfId="0" quotePrefix="1" applyNumberFormat="1" applyFont="1" applyBorder="1" applyAlignment="1" applyProtection="1">
      <alignment horizontal="right" vertical="center" indent="1"/>
    </xf>
    <xf numFmtId="0" fontId="0" fillId="0" borderId="30" xfId="0" applyBorder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10" fontId="39" fillId="2" borderId="0" xfId="0" applyNumberFormat="1" applyFont="1" applyFill="1" applyAlignment="1" applyProtection="1">
      <alignment horizontal="center" vertical="center"/>
    </xf>
    <xf numFmtId="0" fontId="0" fillId="2" borderId="31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8" fillId="0" borderId="34" xfId="0" quotePrefix="1" applyFont="1" applyBorder="1" applyAlignment="1" applyProtection="1">
      <alignment vertical="center"/>
    </xf>
    <xf numFmtId="10" fontId="10" fillId="0" borderId="35" xfId="0" quotePrefix="1" applyNumberFormat="1" applyFont="1" applyBorder="1" applyAlignment="1" applyProtection="1">
      <alignment vertical="center"/>
    </xf>
    <xf numFmtId="10" fontId="30" fillId="0" borderId="36" xfId="0" quotePrefix="1" applyNumberFormat="1" applyFont="1" applyBorder="1" applyAlignment="1" applyProtection="1">
      <alignment horizontal="right" vertical="center" indent="1"/>
    </xf>
    <xf numFmtId="0" fontId="0" fillId="0" borderId="37" xfId="0" applyBorder="1" applyAlignment="1" applyProtection="1">
      <alignment vertical="center"/>
    </xf>
    <xf numFmtId="0" fontId="31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10" fontId="0" fillId="0" borderId="0" xfId="0" applyNumberFormat="1" applyAlignment="1" applyProtection="1">
      <alignment horizontal="center" vertical="center"/>
    </xf>
    <xf numFmtId="0" fontId="0" fillId="0" borderId="38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164" fontId="30" fillId="0" borderId="40" xfId="0" applyNumberFormat="1" applyFont="1" applyBorder="1" applyAlignment="1" applyProtection="1">
      <alignment horizontal="center" vertical="center"/>
    </xf>
    <xf numFmtId="164" fontId="30" fillId="0" borderId="41" xfId="0" applyNumberFormat="1" applyFont="1" applyBorder="1" applyAlignment="1" applyProtection="1">
      <alignment horizontal="center" vertical="center"/>
    </xf>
    <xf numFmtId="0" fontId="0" fillId="0" borderId="46" xfId="0" applyBorder="1" applyAlignment="1" applyProtection="1">
      <alignment vertical="center"/>
    </xf>
    <xf numFmtId="0" fontId="8" fillId="0" borderId="46" xfId="0" quotePrefix="1" applyFont="1" applyBorder="1" applyAlignment="1" applyProtection="1">
      <alignment vertical="center"/>
    </xf>
    <xf numFmtId="0" fontId="8" fillId="0" borderId="47" xfId="0" quotePrefix="1" applyFont="1" applyBorder="1" applyAlignment="1" applyProtection="1">
      <alignment vertical="center"/>
    </xf>
    <xf numFmtId="10" fontId="10" fillId="0" borderId="48" xfId="0" quotePrefix="1" applyNumberFormat="1" applyFont="1" applyBorder="1" applyAlignment="1" applyProtection="1">
      <alignment vertical="center"/>
    </xf>
    <xf numFmtId="10" fontId="30" fillId="0" borderId="49" xfId="0" quotePrefix="1" applyNumberFormat="1" applyFont="1" applyBorder="1" applyAlignment="1" applyProtection="1">
      <alignment horizontal="right" vertical="center" indent="1"/>
    </xf>
    <xf numFmtId="0" fontId="0" fillId="0" borderId="50" xfId="0" applyBorder="1" applyAlignment="1" applyProtection="1">
      <alignment vertical="center"/>
    </xf>
    <xf numFmtId="0" fontId="36" fillId="2" borderId="0" xfId="0" applyFont="1" applyFill="1" applyAlignment="1" applyProtection="1">
      <alignment vertical="center"/>
    </xf>
    <xf numFmtId="0" fontId="0" fillId="2" borderId="0" xfId="0" applyFill="1" applyProtection="1"/>
    <xf numFmtId="0" fontId="0" fillId="0" borderId="21" xfId="0" applyBorder="1" applyAlignment="1" applyProtection="1">
      <alignment vertical="center"/>
    </xf>
    <xf numFmtId="0" fontId="8" fillId="0" borderId="51" xfId="0" quotePrefix="1" applyFont="1" applyBorder="1" applyAlignment="1" applyProtection="1">
      <alignment vertical="center"/>
    </xf>
    <xf numFmtId="0" fontId="10" fillId="0" borderId="32" xfId="0" quotePrefix="1" applyFont="1" applyBorder="1" applyAlignment="1" applyProtection="1">
      <alignment vertical="center"/>
    </xf>
    <xf numFmtId="10" fontId="30" fillId="0" borderId="52" xfId="0" quotePrefix="1" applyNumberFormat="1" applyFont="1" applyBorder="1" applyAlignment="1" applyProtection="1">
      <alignment horizontal="right" vertical="center" indent="1"/>
    </xf>
    <xf numFmtId="0" fontId="0" fillId="0" borderId="53" xfId="0" applyBorder="1" applyAlignment="1" applyProtection="1">
      <alignment vertical="center"/>
    </xf>
    <xf numFmtId="0" fontId="0" fillId="0" borderId="56" xfId="0" applyBorder="1" applyAlignment="1" applyProtection="1">
      <alignment vertical="center"/>
    </xf>
    <xf numFmtId="0" fontId="0" fillId="0" borderId="62" xfId="0" applyBorder="1" applyAlignment="1" applyProtection="1">
      <alignment vertical="center"/>
    </xf>
    <xf numFmtId="0" fontId="0" fillId="0" borderId="57" xfId="0" applyBorder="1" applyAlignment="1" applyProtection="1">
      <alignment vertical="center"/>
    </xf>
    <xf numFmtId="0" fontId="8" fillId="0" borderId="62" xfId="0" quotePrefix="1" applyFont="1" applyBorder="1" applyAlignment="1" applyProtection="1">
      <alignment vertical="center"/>
    </xf>
    <xf numFmtId="0" fontId="8" fillId="0" borderId="63" xfId="0" quotePrefix="1" applyFont="1" applyBorder="1" applyAlignment="1" applyProtection="1">
      <alignment vertical="center"/>
    </xf>
    <xf numFmtId="10" fontId="10" fillId="0" borderId="64" xfId="0" quotePrefix="1" applyNumberFormat="1" applyFont="1" applyBorder="1" applyAlignment="1" applyProtection="1">
      <alignment vertical="center"/>
    </xf>
    <xf numFmtId="10" fontId="30" fillId="0" borderId="65" xfId="0" quotePrefix="1" applyNumberFormat="1" applyFont="1" applyBorder="1" applyAlignment="1" applyProtection="1">
      <alignment horizontal="right" vertical="center" indent="1"/>
    </xf>
    <xf numFmtId="0" fontId="0" fillId="0" borderId="66" xfId="0" applyBorder="1" applyAlignment="1" applyProtection="1">
      <alignment vertical="center"/>
    </xf>
    <xf numFmtId="0" fontId="8" fillId="0" borderId="70" xfId="0" quotePrefix="1" applyFont="1" applyBorder="1" applyAlignment="1" applyProtection="1">
      <alignment vertical="center"/>
    </xf>
    <xf numFmtId="10" fontId="39" fillId="0" borderId="0" xfId="0" applyNumberFormat="1" applyFont="1" applyAlignment="1" applyProtection="1">
      <alignment horizontal="center" vertical="center"/>
    </xf>
    <xf numFmtId="0" fontId="0" fillId="0" borderId="71" xfId="0" applyBorder="1" applyAlignment="1" applyProtection="1">
      <alignment vertical="center"/>
    </xf>
    <xf numFmtId="0" fontId="0" fillId="0" borderId="70" xfId="0" applyBorder="1" applyAlignment="1" applyProtection="1">
      <alignment vertical="center"/>
    </xf>
    <xf numFmtId="0" fontId="0" fillId="0" borderId="67" xfId="0" applyBorder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0" fillId="0" borderId="0" xfId="0" quotePrefix="1" applyAlignment="1" applyProtection="1">
      <alignment vertical="center"/>
    </xf>
    <xf numFmtId="0" fontId="46" fillId="0" borderId="0" xfId="0" applyFont="1" applyAlignment="1" applyProtection="1">
      <alignment horizontal="centerContinuous" vertical="center" wrapText="1"/>
    </xf>
    <xf numFmtId="0" fontId="0" fillId="0" borderId="76" xfId="0" applyBorder="1" applyAlignment="1" applyProtection="1">
      <alignment vertical="center"/>
    </xf>
    <xf numFmtId="0" fontId="0" fillId="0" borderId="77" xfId="0" applyBorder="1" applyProtection="1"/>
    <xf numFmtId="0" fontId="0" fillId="0" borderId="77" xfId="0" applyBorder="1" applyAlignment="1" applyProtection="1">
      <alignment vertical="center"/>
    </xf>
    <xf numFmtId="0" fontId="47" fillId="0" borderId="78" xfId="0" applyFont="1" applyBorder="1" applyAlignment="1" applyProtection="1">
      <alignment horizontal="centerContinuous" vertical="center"/>
    </xf>
    <xf numFmtId="0" fontId="47" fillId="0" borderId="79" xfId="0" applyFont="1" applyBorder="1" applyAlignment="1" applyProtection="1">
      <alignment horizontal="centerContinuous" vertical="center"/>
    </xf>
    <xf numFmtId="0" fontId="47" fillId="0" borderId="78" xfId="0" applyFont="1" applyBorder="1" applyAlignment="1" applyProtection="1">
      <alignment vertical="center"/>
    </xf>
    <xf numFmtId="0" fontId="47" fillId="0" borderId="77" xfId="0" applyFont="1" applyBorder="1" applyAlignment="1" applyProtection="1">
      <alignment horizontal="centerContinuous" vertical="center"/>
    </xf>
    <xf numFmtId="0" fontId="47" fillId="0" borderId="77" xfId="0" applyFont="1" applyBorder="1" applyAlignment="1" applyProtection="1">
      <alignment horizontal="centerContinuous"/>
    </xf>
    <xf numFmtId="0" fontId="47" fillId="0" borderId="79" xfId="0" applyFont="1" applyBorder="1" applyAlignment="1" applyProtection="1">
      <alignment horizontal="centerContinuous"/>
    </xf>
    <xf numFmtId="0" fontId="47" fillId="0" borderId="77" xfId="0" quotePrefix="1" applyFont="1" applyBorder="1" applyAlignment="1" applyProtection="1">
      <alignment horizontal="centerContinuous"/>
    </xf>
    <xf numFmtId="0" fontId="0" fillId="0" borderId="80" xfId="0" applyBorder="1" applyAlignment="1" applyProtection="1">
      <alignment vertical="center"/>
    </xf>
    <xf numFmtId="0" fontId="32" fillId="0" borderId="0" xfId="0" applyFont="1" applyAlignment="1" applyProtection="1">
      <alignment horizontal="center" vertical="center"/>
    </xf>
    <xf numFmtId="0" fontId="0" fillId="0" borderId="81" xfId="0" applyBorder="1" applyAlignment="1" applyProtection="1">
      <alignment vertical="center"/>
    </xf>
    <xf numFmtId="0" fontId="48" fillId="0" borderId="82" xfId="0" applyFont="1" applyBorder="1" applyAlignment="1" applyProtection="1">
      <alignment horizontal="left" vertical="center" indent="2"/>
    </xf>
    <xf numFmtId="0" fontId="0" fillId="0" borderId="82" xfId="0" applyBorder="1" applyAlignment="1" applyProtection="1">
      <alignment vertical="center"/>
    </xf>
    <xf numFmtId="0" fontId="0" fillId="0" borderId="84" xfId="0" applyBorder="1" applyAlignment="1" applyProtection="1">
      <alignment vertical="center"/>
    </xf>
    <xf numFmtId="0" fontId="53" fillId="0" borderId="0" xfId="0" applyFont="1" applyAlignment="1" applyProtection="1">
      <alignment vertical="center"/>
    </xf>
    <xf numFmtId="0" fontId="0" fillId="0" borderId="86" xfId="0" applyBorder="1" applyAlignment="1" applyProtection="1">
      <alignment vertical="center"/>
    </xf>
    <xf numFmtId="0" fontId="48" fillId="0" borderId="87" xfId="0" applyFont="1" applyBorder="1" applyAlignment="1" applyProtection="1">
      <alignment horizontal="left" vertical="center" indent="2"/>
    </xf>
    <xf numFmtId="0" fontId="0" fillId="0" borderId="87" xfId="0" applyBorder="1" applyAlignment="1" applyProtection="1">
      <alignment vertical="center"/>
    </xf>
    <xf numFmtId="0" fontId="0" fillId="0" borderId="89" xfId="0" applyBorder="1" applyAlignment="1" applyProtection="1">
      <alignment vertical="center"/>
    </xf>
    <xf numFmtId="0" fontId="0" fillId="0" borderId="0" xfId="0" applyAlignment="1" applyProtection="1">
      <alignment horizontal="left" vertical="center" indent="1"/>
    </xf>
    <xf numFmtId="0" fontId="20" fillId="0" borderId="0" xfId="0" applyFont="1" applyAlignment="1" applyProtection="1">
      <alignment horizontal="centerContinuous" vertical="center" wrapText="1"/>
    </xf>
    <xf numFmtId="0" fontId="0" fillId="0" borderId="9" xfId="0" applyBorder="1" applyAlignment="1" applyProtection="1">
      <alignment vertical="center"/>
    </xf>
    <xf numFmtId="0" fontId="58" fillId="0" borderId="0" xfId="0" applyFont="1" applyAlignment="1" applyProtection="1">
      <alignment horizontal="left" vertical="center"/>
    </xf>
    <xf numFmtId="0" fontId="59" fillId="0" borderId="0" xfId="0" applyFont="1" applyAlignment="1" applyProtection="1">
      <alignment horizontal="centerContinuous" vertical="center"/>
    </xf>
    <xf numFmtId="0" fontId="60" fillId="0" borderId="0" xfId="0" applyFont="1" applyAlignment="1" applyProtection="1">
      <alignment horizontal="center" vertical="center"/>
    </xf>
    <xf numFmtId="0" fontId="29" fillId="0" borderId="0" xfId="0" quotePrefix="1" applyFont="1" applyAlignment="1" applyProtection="1">
      <alignment horizontal="left" vertical="center" indent="1"/>
    </xf>
    <xf numFmtId="0" fontId="23" fillId="0" borderId="0" xfId="0" applyFont="1" applyAlignment="1" applyProtection="1">
      <alignment horizontal="left" vertical="center" indent="1"/>
    </xf>
    <xf numFmtId="0" fontId="29" fillId="0" borderId="1" xfId="0" quotePrefix="1" applyFont="1" applyBorder="1" applyAlignment="1" applyProtection="1">
      <alignment horizontal="left" vertical="center" indent="1"/>
    </xf>
    <xf numFmtId="0" fontId="19" fillId="0" borderId="2" xfId="0" applyFont="1" applyBorder="1" applyAlignment="1" applyProtection="1">
      <alignment horizontal="centerContinuous" vertical="center" wrapText="1"/>
    </xf>
    <xf numFmtId="0" fontId="19" fillId="0" borderId="8" xfId="0" applyFont="1" applyBorder="1" applyAlignment="1" applyProtection="1">
      <alignment horizontal="centerContinuous" vertical="center" wrapText="1"/>
    </xf>
    <xf numFmtId="0" fontId="19" fillId="0" borderId="10" xfId="0" applyFont="1" applyBorder="1" applyAlignment="1" applyProtection="1">
      <alignment horizontal="centerContinuous" vertical="center" wrapText="1"/>
    </xf>
    <xf numFmtId="0" fontId="0" fillId="0" borderId="92" xfId="0" applyBorder="1" applyAlignment="1" applyProtection="1">
      <alignment vertical="center"/>
    </xf>
    <xf numFmtId="0" fontId="29" fillId="0" borderId="1" xfId="0" applyFont="1" applyBorder="1" applyAlignment="1" applyProtection="1">
      <alignment horizontal="center" vertical="center" wrapText="1"/>
    </xf>
    <xf numFmtId="0" fontId="61" fillId="0" borderId="93" xfId="0" applyFont="1" applyBorder="1" applyAlignment="1" applyProtection="1">
      <alignment horizontal="center" vertical="center" wrapText="1"/>
    </xf>
    <xf numFmtId="0" fontId="62" fillId="0" borderId="5" xfId="0" applyFont="1" applyBorder="1" applyAlignment="1" applyProtection="1">
      <alignment horizontal="center" vertical="center" wrapText="1"/>
    </xf>
    <xf numFmtId="0" fontId="62" fillId="0" borderId="6" xfId="0" applyFont="1" applyBorder="1" applyAlignment="1" applyProtection="1">
      <alignment horizontal="center" vertical="center" wrapText="1"/>
    </xf>
    <xf numFmtId="0" fontId="30" fillId="0" borderId="3" xfId="0" applyFont="1" applyBorder="1" applyAlignment="1" applyProtection="1">
      <alignment horizontal="center" vertical="center" wrapText="1"/>
    </xf>
    <xf numFmtId="0" fontId="30" fillId="0" borderId="94" xfId="0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left" vertical="center" indent="1"/>
    </xf>
    <xf numFmtId="0" fontId="62" fillId="0" borderId="3" xfId="0" applyFont="1" applyBorder="1" applyAlignment="1" applyProtection="1">
      <alignment horizontal="center" vertical="center" wrapText="1"/>
    </xf>
    <xf numFmtId="5" fontId="32" fillId="0" borderId="0" xfId="0" applyNumberFormat="1" applyFont="1" applyAlignment="1" applyProtection="1">
      <alignment horizontal="center" vertical="center"/>
    </xf>
    <xf numFmtId="5" fontId="63" fillId="2" borderId="38" xfId="0" applyNumberFormat="1" applyFont="1" applyFill="1" applyBorder="1" applyAlignment="1" applyProtection="1">
      <alignment vertical="center"/>
    </xf>
    <xf numFmtId="5" fontId="64" fillId="2" borderId="46" xfId="0" applyNumberFormat="1" applyFont="1" applyFill="1" applyBorder="1" applyAlignment="1" applyProtection="1">
      <alignment vertical="center"/>
      <protection locked="0"/>
    </xf>
    <xf numFmtId="0" fontId="64" fillId="2" borderId="96" xfId="0" applyFont="1" applyFill="1" applyBorder="1" applyAlignment="1" applyProtection="1">
      <alignment horizontal="center" vertical="center"/>
      <protection locked="0"/>
    </xf>
    <xf numFmtId="5" fontId="65" fillId="0" borderId="42" xfId="0" applyNumberFormat="1" applyFont="1" applyFill="1" applyBorder="1" applyAlignment="1" applyProtection="1">
      <alignment vertical="center"/>
    </xf>
    <xf numFmtId="5" fontId="65" fillId="0" borderId="43" xfId="0" applyNumberFormat="1" applyFont="1" applyFill="1" applyBorder="1" applyAlignment="1" applyProtection="1">
      <alignment vertical="center"/>
    </xf>
    <xf numFmtId="5" fontId="65" fillId="0" borderId="74" xfId="0" applyNumberFormat="1" applyFont="1" applyFill="1" applyBorder="1" applyAlignment="1" applyProtection="1">
      <alignment vertical="center"/>
    </xf>
    <xf numFmtId="5" fontId="66" fillId="0" borderId="89" xfId="0" applyNumberFormat="1" applyFont="1" applyFill="1" applyBorder="1" applyAlignment="1" applyProtection="1">
      <alignment vertical="center"/>
    </xf>
    <xf numFmtId="0" fontId="23" fillId="0" borderId="90" xfId="0" applyFont="1" applyBorder="1" applyAlignment="1" applyProtection="1">
      <alignment horizontal="left" vertical="center" indent="1"/>
    </xf>
    <xf numFmtId="5" fontId="66" fillId="0" borderId="74" xfId="0" applyNumberFormat="1" applyFont="1" applyFill="1" applyBorder="1" applyAlignment="1" applyProtection="1">
      <alignment vertical="center"/>
    </xf>
    <xf numFmtId="5" fontId="32" fillId="0" borderId="0" xfId="0" applyNumberFormat="1" applyFont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vertical="center"/>
    </xf>
    <xf numFmtId="0" fontId="38" fillId="0" borderId="10" xfId="0" applyFont="1" applyFill="1" applyBorder="1" applyAlignment="1" applyProtection="1">
      <alignment vertical="center"/>
      <protection locked="0"/>
    </xf>
    <xf numFmtId="0" fontId="32" fillId="0" borderId="0" xfId="0" applyFont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38" fillId="0" borderId="0" xfId="0" applyFont="1" applyFill="1" applyBorder="1" applyAlignment="1" applyProtection="1">
      <protection locked="0"/>
    </xf>
    <xf numFmtId="0" fontId="46" fillId="0" borderId="0" xfId="0" applyFont="1" applyAlignment="1" applyProtection="1">
      <alignment horizontal="centerContinuous" vertical="center"/>
    </xf>
    <xf numFmtId="0" fontId="68" fillId="0" borderId="0" xfId="0" applyFont="1" applyAlignment="1" applyProtection="1">
      <alignment horizontal="left" vertical="center"/>
    </xf>
    <xf numFmtId="10" fontId="69" fillId="0" borderId="0" xfId="0" applyNumberFormat="1" applyFont="1" applyAlignment="1" applyProtection="1">
      <alignment horizontal="center" vertical="center"/>
    </xf>
    <xf numFmtId="10" fontId="32" fillId="0" borderId="0" xfId="0" applyNumberFormat="1" applyFont="1" applyAlignment="1" applyProtection="1">
      <alignment vertical="center"/>
    </xf>
    <xf numFmtId="5" fontId="2" fillId="0" borderId="0" xfId="0" applyNumberFormat="1" applyFont="1" applyBorder="1" applyAlignment="1" applyProtection="1">
      <alignment vertical="center"/>
    </xf>
    <xf numFmtId="0" fontId="32" fillId="0" borderId="0" xfId="0" applyFont="1" applyProtection="1"/>
    <xf numFmtId="0" fontId="30" fillId="0" borderId="4" xfId="0" applyFont="1" applyBorder="1" applyAlignment="1" applyProtection="1">
      <alignment vertical="center"/>
    </xf>
    <xf numFmtId="0" fontId="30" fillId="0" borderId="2" xfId="0" applyFont="1" applyBorder="1" applyAlignment="1" applyProtection="1">
      <alignment vertical="center"/>
    </xf>
    <xf numFmtId="0" fontId="16" fillId="0" borderId="0" xfId="0" applyFont="1" applyAlignment="1" applyProtection="1">
      <alignment horizontal="center" vertical="center" wrapText="1"/>
    </xf>
    <xf numFmtId="5" fontId="11" fillId="0" borderId="97" xfId="0" applyNumberFormat="1" applyFont="1" applyBorder="1" applyAlignment="1" applyProtection="1">
      <alignment vertical="center"/>
    </xf>
    <xf numFmtId="5" fontId="11" fillId="0" borderId="15" xfId="0" applyNumberFormat="1" applyFont="1" applyBorder="1" applyAlignment="1" applyProtection="1">
      <alignment vertical="center"/>
    </xf>
    <xf numFmtId="164" fontId="30" fillId="0" borderId="100" xfId="0" applyNumberFormat="1" applyFont="1" applyBorder="1" applyAlignment="1" applyProtection="1">
      <alignment horizontal="center" vertical="center"/>
    </xf>
    <xf numFmtId="164" fontId="30" fillId="0" borderId="101" xfId="0" applyNumberFormat="1" applyFont="1" applyBorder="1" applyAlignment="1" applyProtection="1">
      <alignment horizontal="center" vertical="center"/>
    </xf>
    <xf numFmtId="0" fontId="0" fillId="0" borderId="102" xfId="0" applyBorder="1" applyAlignment="1" applyProtection="1">
      <alignment vertical="center"/>
    </xf>
    <xf numFmtId="5" fontId="0" fillId="0" borderId="0" xfId="0" applyNumberFormat="1" applyAlignment="1" applyProtection="1">
      <alignment vertical="center"/>
    </xf>
    <xf numFmtId="0" fontId="73" fillId="0" borderId="0" xfId="0" applyFont="1" applyAlignment="1" applyProtection="1">
      <alignment vertical="center"/>
    </xf>
    <xf numFmtId="5" fontId="11" fillId="0" borderId="103" xfId="0" applyNumberFormat="1" applyFont="1" applyBorder="1" applyAlignment="1" applyProtection="1">
      <alignment vertical="center"/>
    </xf>
    <xf numFmtId="5" fontId="11" fillId="0" borderId="54" xfId="0" applyNumberFormat="1" applyFont="1" applyBorder="1" applyAlignment="1" applyProtection="1">
      <alignment vertical="center"/>
    </xf>
    <xf numFmtId="5" fontId="11" fillId="0" borderId="104" xfId="0" applyNumberFormat="1" applyFont="1" applyBorder="1" applyAlignment="1" applyProtection="1">
      <alignment vertical="center"/>
    </xf>
    <xf numFmtId="5" fontId="11" fillId="0" borderId="105" xfId="0" applyNumberFormat="1" applyFont="1" applyBorder="1" applyAlignment="1" applyProtection="1">
      <alignment vertical="center"/>
    </xf>
    <xf numFmtId="0" fontId="0" fillId="0" borderId="85" xfId="0" applyBorder="1" applyAlignment="1" applyProtection="1">
      <alignment vertical="center"/>
    </xf>
    <xf numFmtId="164" fontId="30" fillId="0" borderId="106" xfId="0" applyNumberFormat="1" applyFont="1" applyBorder="1" applyAlignment="1" applyProtection="1">
      <alignment horizontal="center" vertical="center"/>
    </xf>
    <xf numFmtId="164" fontId="30" fillId="0" borderId="44" xfId="0" applyNumberFormat="1" applyFont="1" applyBorder="1" applyAlignment="1" applyProtection="1">
      <alignment horizontal="center" vertical="center"/>
    </xf>
    <xf numFmtId="0" fontId="0" fillId="0" borderId="90" xfId="0" applyBorder="1" applyAlignment="1" applyProtection="1">
      <alignment vertical="center"/>
    </xf>
    <xf numFmtId="0" fontId="62" fillId="0" borderId="67" xfId="0" applyFont="1" applyBorder="1" applyAlignment="1" applyProtection="1">
      <alignment horizontal="center" vertical="center" wrapText="1"/>
    </xf>
    <xf numFmtId="0" fontId="62" fillId="0" borderId="39" xfId="0" applyFont="1" applyBorder="1" applyAlignment="1" applyProtection="1">
      <alignment horizontal="center" vertical="center" wrapText="1"/>
    </xf>
    <xf numFmtId="10" fontId="43" fillId="0" borderId="72" xfId="0" applyNumberFormat="1" applyFont="1" applyBorder="1" applyAlignment="1" applyProtection="1">
      <alignment horizontal="center" vertical="center"/>
    </xf>
    <xf numFmtId="10" fontId="0" fillId="0" borderId="42" xfId="0" applyNumberFormat="1" applyBorder="1" applyAlignment="1" applyProtection="1">
      <alignment vertical="center"/>
    </xf>
    <xf numFmtId="10" fontId="71" fillId="0" borderId="73" xfId="0" applyNumberFormat="1" applyFont="1" applyBorder="1" applyAlignment="1" applyProtection="1">
      <alignment horizontal="center" vertical="center"/>
    </xf>
    <xf numFmtId="10" fontId="72" fillId="0" borderId="43" xfId="0" applyNumberFormat="1" applyFont="1" applyBorder="1" applyAlignment="1" applyProtection="1">
      <alignment vertical="center"/>
    </xf>
    <xf numFmtId="10" fontId="43" fillId="0" borderId="69" xfId="0" applyNumberFormat="1" applyFont="1" applyBorder="1" applyAlignment="1" applyProtection="1">
      <alignment horizontal="center" vertical="center"/>
    </xf>
    <xf numFmtId="10" fontId="43" fillId="0" borderId="75" xfId="0" applyNumberFormat="1" applyFont="1" applyBorder="1" applyAlignment="1" applyProtection="1">
      <alignment horizontal="center" vertical="center"/>
    </xf>
    <xf numFmtId="10" fontId="43" fillId="0" borderId="67" xfId="0" applyNumberFormat="1" applyFont="1" applyBorder="1" applyAlignment="1" applyProtection="1">
      <alignment horizontal="center" vertical="center"/>
    </xf>
    <xf numFmtId="10" fontId="0" fillId="0" borderId="39" xfId="0" applyNumberFormat="1" applyBorder="1" applyAlignment="1" applyProtection="1">
      <alignment vertical="center"/>
    </xf>
    <xf numFmtId="0" fontId="9" fillId="0" borderId="67" xfId="0" quotePrefix="1" applyFont="1" applyBorder="1" applyAlignment="1" applyProtection="1">
      <alignment vertical="center" wrapText="1"/>
    </xf>
    <xf numFmtId="0" fontId="9" fillId="0" borderId="67" xfId="0" applyFont="1" applyBorder="1" applyAlignment="1" applyProtection="1">
      <alignment vertical="center" wrapText="1"/>
    </xf>
    <xf numFmtId="0" fontId="9" fillId="0" borderId="39" xfId="0" applyFont="1" applyBorder="1" applyAlignment="1" applyProtection="1">
      <alignment vertical="center" wrapText="1"/>
    </xf>
    <xf numFmtId="0" fontId="62" fillId="0" borderId="0" xfId="0" applyFont="1" applyBorder="1" applyAlignment="1" applyProtection="1">
      <alignment horizontal="center" vertical="center" wrapText="1"/>
    </xf>
    <xf numFmtId="0" fontId="62" fillId="0" borderId="57" xfId="0" applyFont="1" applyBorder="1" applyAlignment="1" applyProtection="1">
      <alignment horizontal="center" vertical="center" wrapText="1"/>
    </xf>
    <xf numFmtId="10" fontId="43" fillId="0" borderId="24" xfId="0" applyNumberFormat="1" applyFont="1" applyBorder="1" applyAlignment="1" applyProtection="1">
      <alignment horizontal="center" vertical="center"/>
    </xf>
    <xf numFmtId="10" fontId="0" fillId="0" borderId="60" xfId="0" applyNumberFormat="1" applyBorder="1" applyAlignment="1" applyProtection="1">
      <alignment vertical="center"/>
    </xf>
    <xf numFmtId="10" fontId="71" fillId="0" borderId="25" xfId="0" applyNumberFormat="1" applyFont="1" applyBorder="1" applyAlignment="1" applyProtection="1">
      <alignment horizontal="center" vertical="center"/>
    </xf>
    <xf numFmtId="10" fontId="72" fillId="0" borderId="61" xfId="0" applyNumberFormat="1" applyFont="1" applyBorder="1" applyAlignment="1" applyProtection="1">
      <alignment vertical="center"/>
    </xf>
    <xf numFmtId="10" fontId="43" fillId="0" borderId="59" xfId="0" applyNumberFormat="1" applyFont="1" applyBorder="1" applyAlignment="1" applyProtection="1">
      <alignment horizontal="center" vertical="center"/>
    </xf>
    <xf numFmtId="10" fontId="43" fillId="0" borderId="0" xfId="0" applyNumberFormat="1" applyFont="1" applyBorder="1" applyAlignment="1" applyProtection="1">
      <alignment horizontal="center" vertical="center"/>
    </xf>
    <xf numFmtId="10" fontId="0" fillId="0" borderId="57" xfId="0" applyNumberFormat="1" applyBorder="1" applyAlignment="1" applyProtection="1">
      <alignment vertical="center"/>
    </xf>
    <xf numFmtId="0" fontId="9" fillId="0" borderId="57" xfId="0" applyFont="1" applyBorder="1" applyAlignment="1" applyProtection="1">
      <alignment vertical="center" wrapText="1"/>
    </xf>
    <xf numFmtId="0" fontId="62" fillId="0" borderId="68" xfId="0" applyFont="1" applyBorder="1" applyAlignment="1" applyProtection="1">
      <alignment horizontal="center" vertical="center" wrapText="1"/>
    </xf>
    <xf numFmtId="0" fontId="62" fillId="0" borderId="58" xfId="0" applyFont="1" applyBorder="1" applyAlignment="1" applyProtection="1">
      <alignment horizontal="center" vertical="center" wrapText="1"/>
    </xf>
    <xf numFmtId="0" fontId="25" fillId="0" borderId="0" xfId="0" quotePrefix="1" applyFont="1" applyAlignment="1" applyProtection="1">
      <alignment horizontal="left" vertical="center" indent="1"/>
    </xf>
    <xf numFmtId="0" fontId="0" fillId="0" borderId="0" xfId="0" applyAlignment="1" applyProtection="1">
      <alignment horizontal="left" vertical="center" indent="1"/>
    </xf>
    <xf numFmtId="0" fontId="30" fillId="0" borderId="0" xfId="0" applyFont="1" applyAlignment="1" applyProtection="1">
      <alignment horizontal="left" vertical="center" wrapText="1" indent="2"/>
    </xf>
    <xf numFmtId="0" fontId="10" fillId="0" borderId="0" xfId="0" applyFont="1" applyAlignment="1" applyProtection="1">
      <alignment horizontal="left" vertical="center" wrapText="1" indent="2"/>
    </xf>
    <xf numFmtId="0" fontId="30" fillId="0" borderId="2" xfId="0" applyFont="1" applyBorder="1" applyAlignment="1" applyProtection="1">
      <alignment horizontal="center" vertical="center" wrapText="1"/>
    </xf>
    <xf numFmtId="0" fontId="62" fillId="0" borderId="16" xfId="0" applyFont="1" applyBorder="1" applyAlignment="1" applyProtection="1">
      <alignment horizontal="center" vertical="center" wrapText="1"/>
    </xf>
    <xf numFmtId="0" fontId="62" fillId="0" borderId="99" xfId="0" applyFont="1" applyBorder="1" applyAlignment="1" applyProtection="1">
      <alignment horizontal="center" vertical="center" wrapText="1"/>
    </xf>
    <xf numFmtId="10" fontId="43" fillId="0" borderId="13" xfId="0" applyNumberFormat="1" applyFont="1" applyBorder="1" applyAlignment="1" applyProtection="1">
      <alignment horizontal="center" vertical="center"/>
    </xf>
    <xf numFmtId="10" fontId="71" fillId="0" borderId="97" xfId="0" applyNumberFormat="1" applyFont="1" applyBorder="1" applyAlignment="1" applyProtection="1">
      <alignment horizontal="center" vertical="center"/>
    </xf>
    <xf numFmtId="10" fontId="72" fillId="0" borderId="100" xfId="0" applyNumberFormat="1" applyFont="1" applyBorder="1" applyAlignment="1" applyProtection="1">
      <alignment vertical="center"/>
    </xf>
    <xf numFmtId="10" fontId="43" fillId="0" borderId="98" xfId="0" applyNumberFormat="1" applyFont="1" applyBorder="1" applyAlignment="1" applyProtection="1">
      <alignment horizontal="center" vertical="center"/>
    </xf>
    <xf numFmtId="10" fontId="43" fillId="0" borderId="16" xfId="0" applyNumberFormat="1" applyFont="1" applyBorder="1" applyAlignment="1" applyProtection="1">
      <alignment horizontal="center" vertical="center"/>
    </xf>
    <xf numFmtId="10" fontId="0" fillId="0" borderId="99" xfId="0" applyNumberFormat="1" applyBorder="1" applyAlignment="1" applyProtection="1">
      <alignment vertical="center"/>
    </xf>
    <xf numFmtId="0" fontId="9" fillId="0" borderId="10" xfId="0" quotePrefix="1" applyFont="1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0" fillId="0" borderId="57" xfId="0" applyBorder="1" applyAlignment="1" applyProtection="1">
      <alignment vertical="center" wrapText="1"/>
    </xf>
    <xf numFmtId="0" fontId="70" fillId="0" borderId="0" xfId="0" quotePrefix="1" applyFont="1" applyAlignment="1" applyProtection="1">
      <alignment horizontal="left" vertical="center" indent="4"/>
    </xf>
    <xf numFmtId="0" fontId="0" fillId="0" borderId="0" xfId="0" applyAlignment="1" applyProtection="1">
      <alignment horizontal="left" vertical="center" indent="4"/>
    </xf>
    <xf numFmtId="0" fontId="61" fillId="0" borderId="1" xfId="0" applyFont="1" applyBorder="1" applyAlignment="1" applyProtection="1">
      <alignment horizontal="center" vertical="center" wrapText="1"/>
    </xf>
    <xf numFmtId="0" fontId="61" fillId="0" borderId="2" xfId="0" applyFont="1" applyBorder="1" applyAlignment="1">
      <alignment horizontal="center" vertical="center" wrapText="1"/>
    </xf>
    <xf numFmtId="0" fontId="61" fillId="0" borderId="4" xfId="0" applyFont="1" applyBorder="1" applyAlignment="1">
      <alignment horizontal="center" vertical="center" wrapText="1"/>
    </xf>
    <xf numFmtId="0" fontId="62" fillId="0" borderId="95" xfId="0" applyFont="1" applyBorder="1" applyAlignment="1" applyProtection="1">
      <alignment horizontal="center" vertical="center" wrapText="1"/>
    </xf>
    <xf numFmtId="0" fontId="52" fillId="0" borderId="2" xfId="0" applyFont="1" applyBorder="1" applyAlignment="1">
      <alignment wrapText="1"/>
    </xf>
    <xf numFmtId="0" fontId="52" fillId="0" borderId="3" xfId="0" applyFont="1" applyBorder="1" applyAlignment="1">
      <alignment wrapText="1"/>
    </xf>
    <xf numFmtId="0" fontId="0" fillId="0" borderId="2" xfId="0" applyFont="1" applyBorder="1" applyAlignment="1">
      <alignment vertical="center" wrapText="1"/>
    </xf>
    <xf numFmtId="0" fontId="0" fillId="0" borderId="8" xfId="0" applyFont="1" applyBorder="1" applyAlignment="1">
      <alignment vertical="center"/>
    </xf>
    <xf numFmtId="5" fontId="64" fillId="2" borderId="1" xfId="0" applyNumberFormat="1" applyFont="1" applyFill="1" applyBorder="1" applyAlignment="1" applyProtection="1">
      <alignment horizontal="right" vertical="center" indent="1"/>
      <protection locked="0"/>
    </xf>
    <xf numFmtId="0" fontId="0" fillId="0" borderId="2" xfId="0" applyBorder="1" applyAlignment="1" applyProtection="1">
      <alignment horizontal="right" vertical="center" indent="1"/>
      <protection locked="0"/>
    </xf>
    <xf numFmtId="0" fontId="0" fillId="0" borderId="4" xfId="0" applyBorder="1" applyAlignment="1" applyProtection="1">
      <alignment horizontal="right" vertical="center" indent="1"/>
      <protection locked="0"/>
    </xf>
    <xf numFmtId="5" fontId="66" fillId="0" borderId="43" xfId="0" applyNumberFormat="1" applyFont="1" applyFill="1" applyBorder="1" applyAlignment="1" applyProtection="1">
      <alignment vertical="center"/>
    </xf>
    <xf numFmtId="0" fontId="67" fillId="0" borderId="43" xfId="0" applyFont="1" applyBorder="1" applyAlignment="1" applyProtection="1">
      <alignment vertical="center"/>
    </xf>
    <xf numFmtId="5" fontId="66" fillId="0" borderId="39" xfId="0" applyNumberFormat="1" applyFont="1" applyFill="1" applyBorder="1" applyAlignment="1" applyProtection="1">
      <alignment vertical="center"/>
    </xf>
    <xf numFmtId="0" fontId="67" fillId="0" borderId="39" xfId="0" applyFont="1" applyFill="1" applyBorder="1" applyAlignment="1" applyProtection="1">
      <alignment vertical="center"/>
    </xf>
    <xf numFmtId="0" fontId="0" fillId="0" borderId="90" xfId="0" applyBorder="1" applyAlignment="1" applyProtection="1">
      <alignment vertical="center"/>
    </xf>
    <xf numFmtId="0" fontId="30" fillId="0" borderId="0" xfId="0" quotePrefix="1" applyFont="1" applyAlignment="1" applyProtection="1">
      <alignment horizontal="left" vertical="center" indent="4"/>
    </xf>
    <xf numFmtId="0" fontId="0" fillId="0" borderId="0" xfId="0" applyFont="1" applyAlignment="1" applyProtection="1">
      <alignment horizontal="left" vertical="center" indent="4"/>
    </xf>
    <xf numFmtId="0" fontId="29" fillId="0" borderId="0" xfId="0" quotePrefix="1" applyFont="1" applyAlignment="1" applyProtection="1">
      <alignment horizontal="left" vertical="center" indent="1"/>
    </xf>
    <xf numFmtId="0" fontId="23" fillId="0" borderId="0" xfId="0" applyFont="1" applyAlignment="1" applyProtection="1">
      <alignment horizontal="left" vertical="center" indent="1"/>
    </xf>
    <xf numFmtId="0" fontId="55" fillId="0" borderId="10" xfId="0" applyFont="1" applyBorder="1" applyAlignment="1" applyProtection="1">
      <alignment horizontal="left" vertical="center" wrapText="1" indent="3"/>
    </xf>
    <xf numFmtId="0" fontId="55" fillId="0" borderId="10" xfId="0" applyFont="1" applyBorder="1" applyAlignment="1">
      <alignment horizontal="left" vertical="center" wrapText="1" indent="3"/>
    </xf>
    <xf numFmtId="0" fontId="55" fillId="0" borderId="39" xfId="0" applyFont="1" applyBorder="1" applyAlignment="1">
      <alignment horizontal="left" vertical="center" wrapText="1" indent="3"/>
    </xf>
    <xf numFmtId="5" fontId="56" fillId="2" borderId="91" xfId="0" applyNumberFormat="1" applyFont="1" applyFill="1" applyBorder="1" applyAlignment="1" applyProtection="1">
      <alignment horizontal="right" vertical="center" indent="6"/>
      <protection locked="0"/>
    </xf>
    <xf numFmtId="5" fontId="57" fillId="0" borderId="10" xfId="0" applyNumberFormat="1" applyFont="1" applyBorder="1" applyAlignment="1" applyProtection="1">
      <alignment horizontal="right" vertical="center" indent="6"/>
      <protection locked="0"/>
    </xf>
    <xf numFmtId="5" fontId="57" fillId="0" borderId="92" xfId="0" applyNumberFormat="1" applyFont="1" applyBorder="1" applyAlignment="1" applyProtection="1">
      <alignment horizontal="right" vertical="center" indent="6"/>
      <protection locked="0"/>
    </xf>
    <xf numFmtId="5" fontId="57" fillId="0" borderId="89" xfId="0" applyNumberFormat="1" applyFont="1" applyBorder="1" applyAlignment="1" applyProtection="1">
      <alignment horizontal="right" vertical="center" indent="6"/>
      <protection locked="0"/>
    </xf>
    <xf numFmtId="5" fontId="57" fillId="0" borderId="39" xfId="0" applyNumberFormat="1" applyFont="1" applyBorder="1" applyAlignment="1" applyProtection="1">
      <alignment horizontal="right" vertical="center" indent="6"/>
      <protection locked="0"/>
    </xf>
    <xf numFmtId="5" fontId="57" fillId="0" borderId="90" xfId="0" applyNumberFormat="1" applyFont="1" applyBorder="1" applyAlignment="1" applyProtection="1">
      <alignment horizontal="right" vertical="center" indent="6"/>
      <protection locked="0"/>
    </xf>
    <xf numFmtId="10" fontId="45" fillId="0" borderId="39" xfId="0" applyNumberFormat="1" applyFont="1" applyBorder="1" applyAlignment="1" applyProtection="1">
      <alignment vertical="center"/>
    </xf>
    <xf numFmtId="0" fontId="10" fillId="0" borderId="67" xfId="0" quotePrefix="1" applyFont="1" applyBorder="1" applyAlignment="1" applyProtection="1">
      <alignment vertical="center" wrapText="1"/>
    </xf>
    <xf numFmtId="0" fontId="0" fillId="0" borderId="67" xfId="0" applyFont="1" applyBorder="1" applyAlignment="1" applyProtection="1">
      <alignment vertical="center" wrapText="1"/>
    </xf>
    <xf numFmtId="0" fontId="10" fillId="0" borderId="0" xfId="0" quotePrefix="1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39" xfId="0" applyFont="1" applyBorder="1" applyAlignment="1" applyProtection="1">
      <alignment vertical="center" wrapText="1"/>
    </xf>
    <xf numFmtId="164" fontId="30" fillId="0" borderId="28" xfId="0" applyNumberFormat="1" applyFont="1" applyBorder="1" applyAlignment="1" applyProtection="1">
      <alignment horizontal="center" vertical="center"/>
    </xf>
    <xf numFmtId="0" fontId="0" fillId="0" borderId="74" xfId="0" applyBorder="1" applyAlignment="1" applyProtection="1">
      <alignment vertical="center"/>
    </xf>
    <xf numFmtId="164" fontId="30" fillId="0" borderId="55" xfId="0" applyNumberFormat="1" applyFont="1" applyBorder="1" applyAlignment="1" applyProtection="1">
      <alignment horizontal="center" vertical="center"/>
    </xf>
    <xf numFmtId="0" fontId="0" fillId="0" borderId="75" xfId="0" applyBorder="1" applyAlignment="1" applyProtection="1">
      <alignment vertical="center"/>
    </xf>
    <xf numFmtId="5" fontId="49" fillId="0" borderId="63" xfId="0" applyNumberFormat="1" applyFont="1" applyFill="1" applyBorder="1" applyAlignment="1" applyProtection="1">
      <alignment horizontal="right" vertical="center" indent="2"/>
    </xf>
    <xf numFmtId="5" fontId="49" fillId="0" borderId="83" xfId="0" applyNumberFormat="1" applyFont="1" applyFill="1" applyBorder="1" applyAlignment="1" applyProtection="1">
      <alignment horizontal="right" vertical="center" indent="2"/>
    </xf>
    <xf numFmtId="5" fontId="50" fillId="2" borderId="84" xfId="0" applyNumberFormat="1" applyFont="1" applyFill="1" applyBorder="1" applyAlignment="1" applyProtection="1">
      <alignment horizontal="right" vertical="center"/>
      <protection locked="0"/>
    </xf>
    <xf numFmtId="5" fontId="50" fillId="2" borderId="67" xfId="0" applyNumberFormat="1" applyFont="1" applyFill="1" applyBorder="1" applyAlignment="1" applyProtection="1">
      <alignment horizontal="right" vertical="center"/>
      <protection locked="0"/>
    </xf>
    <xf numFmtId="0" fontId="51" fillId="0" borderId="67" xfId="0" applyFont="1" applyBorder="1" applyAlignment="1" applyProtection="1">
      <alignment horizontal="right" vertical="center"/>
      <protection locked="0"/>
    </xf>
    <xf numFmtId="0" fontId="51" fillId="0" borderId="70" xfId="0" applyFont="1" applyBorder="1" applyAlignment="1" applyProtection="1">
      <alignment horizontal="right" vertical="center"/>
      <protection locked="0"/>
    </xf>
    <xf numFmtId="0" fontId="51" fillId="0" borderId="89" xfId="0" applyFont="1" applyBorder="1" applyAlignment="1" applyProtection="1">
      <alignment horizontal="right" vertical="center"/>
      <protection locked="0"/>
    </xf>
    <xf numFmtId="0" fontId="51" fillId="0" borderId="39" xfId="0" applyFont="1" applyBorder="1" applyAlignment="1" applyProtection="1">
      <alignment horizontal="right" vertical="center"/>
      <protection locked="0"/>
    </xf>
    <xf numFmtId="0" fontId="51" fillId="0" borderId="46" xfId="0" applyFont="1" applyBorder="1" applyAlignment="1" applyProtection="1">
      <alignment horizontal="right" vertical="center"/>
      <protection locked="0"/>
    </xf>
    <xf numFmtId="0" fontId="52" fillId="0" borderId="67" xfId="0" applyFont="1" applyBorder="1" applyAlignment="1" applyProtection="1">
      <alignment vertical="center" wrapText="1"/>
    </xf>
    <xf numFmtId="0" fontId="52" fillId="0" borderId="67" xfId="0" applyFont="1" applyBorder="1" applyAlignment="1">
      <alignment vertical="center" wrapText="1"/>
    </xf>
    <xf numFmtId="0" fontId="0" fillId="0" borderId="85" xfId="0" applyBorder="1" applyAlignment="1">
      <alignment vertical="center" wrapText="1"/>
    </xf>
    <xf numFmtId="0" fontId="52" fillId="0" borderId="39" xfId="0" applyFont="1" applyBorder="1" applyAlignment="1">
      <alignment vertical="center" wrapText="1"/>
    </xf>
    <xf numFmtId="0" fontId="0" fillId="0" borderId="90" xfId="0" applyBorder="1" applyAlignment="1">
      <alignment vertical="center" wrapText="1"/>
    </xf>
    <xf numFmtId="10" fontId="54" fillId="0" borderId="47" xfId="0" applyNumberFormat="1" applyFont="1" applyFill="1" applyBorder="1" applyAlignment="1" applyProtection="1">
      <alignment horizontal="right" vertical="center" indent="3"/>
    </xf>
    <xf numFmtId="10" fontId="54" fillId="0" borderId="88" xfId="0" applyNumberFormat="1" applyFont="1" applyFill="1" applyBorder="1" applyAlignment="1">
      <alignment horizontal="right" vertical="center" indent="3"/>
    </xf>
    <xf numFmtId="10" fontId="54" fillId="0" borderId="88" xfId="0" applyNumberFormat="1" applyFont="1" applyFill="1" applyBorder="1" applyAlignment="1" applyProtection="1">
      <alignment horizontal="right" vertical="center" indent="3"/>
    </xf>
    <xf numFmtId="10" fontId="45" fillId="0" borderId="57" xfId="0" applyNumberFormat="1" applyFont="1" applyBorder="1" applyAlignment="1" applyProtection="1">
      <alignment vertical="center"/>
    </xf>
    <xf numFmtId="0" fontId="0" fillId="0" borderId="57" xfId="0" applyFont="1" applyBorder="1" applyAlignment="1" applyProtection="1">
      <alignment vertical="center" wrapText="1"/>
    </xf>
    <xf numFmtId="0" fontId="0" fillId="0" borderId="58" xfId="0" applyBorder="1" applyAlignment="1" applyProtection="1">
      <alignment vertical="center"/>
    </xf>
    <xf numFmtId="0" fontId="0" fillId="0" borderId="59" xfId="0" applyBorder="1" applyAlignment="1" applyProtection="1">
      <alignment vertical="center"/>
    </xf>
    <xf numFmtId="0" fontId="7" fillId="0" borderId="67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39" xfId="0" applyFont="1" applyBorder="1" applyAlignment="1" applyProtection="1">
      <alignment horizontal="center" vertical="center" wrapText="1"/>
    </xf>
    <xf numFmtId="5" fontId="11" fillId="0" borderId="68" xfId="0" applyNumberFormat="1" applyFont="1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5" fontId="11" fillId="0" borderId="69" xfId="0" applyNumberFormat="1" applyFont="1" applyBorder="1" applyAlignment="1" applyProtection="1">
      <alignment vertical="center"/>
    </xf>
    <xf numFmtId="0" fontId="0" fillId="0" borderId="54" xfId="0" applyBorder="1" applyAlignment="1" applyProtection="1">
      <alignment vertical="center"/>
    </xf>
    <xf numFmtId="10" fontId="34" fillId="0" borderId="72" xfId="0" applyNumberFormat="1" applyFont="1" applyBorder="1" applyAlignment="1" applyProtection="1">
      <alignment horizontal="center" vertical="center"/>
    </xf>
    <xf numFmtId="10" fontId="34" fillId="0" borderId="24" xfId="0" applyNumberFormat="1" applyFont="1" applyBorder="1" applyAlignment="1" applyProtection="1">
      <alignment horizontal="center" vertical="center"/>
    </xf>
    <xf numFmtId="10" fontId="40" fillId="0" borderId="42" xfId="0" applyNumberFormat="1" applyFont="1" applyBorder="1" applyAlignment="1" applyProtection="1">
      <alignment vertical="center"/>
    </xf>
    <xf numFmtId="10" fontId="42" fillId="0" borderId="73" xfId="0" applyNumberFormat="1" applyFont="1" applyBorder="1" applyAlignment="1" applyProtection="1">
      <alignment horizontal="center" vertical="center"/>
    </xf>
    <xf numFmtId="10" fontId="42" fillId="0" borderId="25" xfId="0" applyNumberFormat="1" applyFont="1" applyBorder="1" applyAlignment="1" applyProtection="1">
      <alignment horizontal="center" vertical="center"/>
    </xf>
    <xf numFmtId="10" fontId="44" fillId="0" borderId="43" xfId="0" applyNumberFormat="1" applyFont="1" applyBorder="1" applyAlignment="1" applyProtection="1">
      <alignment vertical="center"/>
    </xf>
    <xf numFmtId="10" fontId="34" fillId="0" borderId="69" xfId="0" applyNumberFormat="1" applyFont="1" applyBorder="1" applyAlignment="1" applyProtection="1">
      <alignment horizontal="center" vertical="center"/>
    </xf>
    <xf numFmtId="10" fontId="34" fillId="0" borderId="26" xfId="0" applyNumberFormat="1" applyFont="1" applyBorder="1" applyAlignment="1" applyProtection="1">
      <alignment horizontal="center" vertical="center"/>
    </xf>
    <xf numFmtId="10" fontId="34" fillId="0" borderId="75" xfId="0" applyNumberFormat="1" applyFont="1" applyBorder="1" applyAlignment="1" applyProtection="1">
      <alignment horizontal="center" vertical="center"/>
    </xf>
    <xf numFmtId="0" fontId="7" fillId="0" borderId="57" xfId="0" applyFont="1" applyBorder="1" applyAlignment="1" applyProtection="1">
      <alignment horizontal="center" vertical="center" wrapText="1"/>
    </xf>
    <xf numFmtId="10" fontId="40" fillId="0" borderId="60" xfId="0" applyNumberFormat="1" applyFont="1" applyBorder="1" applyAlignment="1" applyProtection="1">
      <alignment vertical="center"/>
    </xf>
    <xf numFmtId="10" fontId="44" fillId="0" borderId="61" xfId="0" applyNumberFormat="1" applyFont="1" applyBorder="1" applyAlignment="1" applyProtection="1">
      <alignment vertical="center"/>
    </xf>
    <xf numFmtId="10" fontId="34" fillId="0" borderId="59" xfId="0" applyNumberFormat="1" applyFont="1" applyBorder="1" applyAlignment="1" applyProtection="1">
      <alignment horizontal="center" vertical="center"/>
    </xf>
    <xf numFmtId="5" fontId="11" fillId="0" borderId="22" xfId="0" applyNumberFormat="1" applyFont="1" applyBorder="1" applyAlignment="1" applyProtection="1">
      <alignment vertical="center"/>
    </xf>
    <xf numFmtId="5" fontId="11" fillId="0" borderId="26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vertical="center"/>
    </xf>
    <xf numFmtId="0" fontId="0" fillId="2" borderId="10" xfId="0" applyFill="1" applyBorder="1" applyAlignment="1" applyProtection="1">
      <alignment vertical="center"/>
    </xf>
    <xf numFmtId="0" fontId="0" fillId="2" borderId="21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5" fontId="33" fillId="2" borderId="11" xfId="0" applyNumberFormat="1" applyFont="1" applyFill="1" applyBorder="1" applyAlignment="1" applyProtection="1">
      <alignment vertical="center"/>
      <protection locked="0"/>
    </xf>
    <xf numFmtId="0" fontId="38" fillId="2" borderId="22" xfId="0" applyFont="1" applyFill="1" applyBorder="1" applyAlignment="1" applyProtection="1">
      <alignment vertical="center"/>
      <protection locked="0"/>
    </xf>
    <xf numFmtId="0" fontId="38" fillId="0" borderId="32" xfId="0" applyFont="1" applyBorder="1" applyAlignment="1" applyProtection="1">
      <protection locked="0"/>
    </xf>
    <xf numFmtId="5" fontId="33" fillId="2" borderId="12" xfId="0" applyNumberFormat="1" applyFont="1" applyFill="1" applyBorder="1" applyAlignment="1" applyProtection="1">
      <alignment vertical="center"/>
      <protection locked="0"/>
    </xf>
    <xf numFmtId="0" fontId="38" fillId="2" borderId="23" xfId="0" applyFont="1" applyFill="1" applyBorder="1" applyAlignment="1" applyProtection="1">
      <alignment vertical="center"/>
      <protection locked="0"/>
    </xf>
    <xf numFmtId="0" fontId="38" fillId="0" borderId="33" xfId="0" applyFont="1" applyBorder="1" applyAlignment="1" applyProtection="1">
      <protection locked="0"/>
    </xf>
    <xf numFmtId="10" fontId="34" fillId="0" borderId="13" xfId="0" applyNumberFormat="1" applyFont="1" applyBorder="1" applyAlignment="1" applyProtection="1">
      <alignment horizontal="center" vertical="center"/>
    </xf>
    <xf numFmtId="10" fontId="34" fillId="0" borderId="14" xfId="0" applyNumberFormat="1" applyFont="1" applyBorder="1" applyAlignment="1" applyProtection="1">
      <alignment horizontal="center" vertical="center"/>
    </xf>
    <xf numFmtId="10" fontId="34" fillId="0" borderId="25" xfId="0" applyNumberFormat="1" applyFont="1" applyBorder="1" applyAlignment="1" applyProtection="1">
      <alignment horizontal="center" vertical="center"/>
    </xf>
    <xf numFmtId="10" fontId="34" fillId="0" borderId="43" xfId="0" applyNumberFormat="1" applyFont="1" applyBorder="1" applyAlignment="1" applyProtection="1">
      <alignment horizontal="center" vertical="center"/>
    </xf>
    <xf numFmtId="10" fontId="35" fillId="0" borderId="15" xfId="0" applyNumberFormat="1" applyFont="1" applyBorder="1" applyAlignment="1" applyProtection="1">
      <alignment horizontal="center" vertical="center"/>
    </xf>
    <xf numFmtId="10" fontId="35" fillId="0" borderId="26" xfId="0" applyNumberFormat="1" applyFont="1" applyBorder="1" applyAlignment="1" applyProtection="1">
      <alignment horizontal="center" vertical="center"/>
    </xf>
    <xf numFmtId="10" fontId="41" fillId="0" borderId="44" xfId="0" applyNumberFormat="1" applyFont="1" applyBorder="1" applyAlignment="1" applyProtection="1">
      <alignment vertical="center"/>
    </xf>
    <xf numFmtId="10" fontId="25" fillId="0" borderId="16" xfId="0" applyNumberFormat="1" applyFont="1" applyBorder="1" applyAlignment="1" applyProtection="1">
      <alignment horizontal="center" vertical="center"/>
    </xf>
    <xf numFmtId="10" fontId="25" fillId="0" borderId="0" xfId="0" applyNumberFormat="1" applyFont="1" applyBorder="1" applyAlignment="1" applyProtection="1">
      <alignment horizontal="center" vertical="center"/>
    </xf>
    <xf numFmtId="10" fontId="36" fillId="0" borderId="45" xfId="0" applyNumberFormat="1" applyFont="1" applyBorder="1" applyAlignment="1" applyProtection="1">
      <alignment vertical="center"/>
    </xf>
    <xf numFmtId="0" fontId="10" fillId="0" borderId="10" xfId="0" quotePrefix="1" applyFont="1" applyBorder="1" applyAlignment="1" applyProtection="1">
      <alignment vertical="center" wrapText="1"/>
    </xf>
    <xf numFmtId="0" fontId="0" fillId="0" borderId="10" xfId="0" applyFont="1" applyBorder="1" applyAlignment="1" applyProtection="1">
      <alignment vertical="center" wrapText="1"/>
    </xf>
  </cellXfs>
  <cellStyles count="8">
    <cellStyle name="Comma 2" xfId="3"/>
    <cellStyle name="Currency 2" xfId="4"/>
    <cellStyle name="Normal" xfId="0" builtinId="0"/>
    <cellStyle name="Normal 2" xfId="5"/>
    <cellStyle name="Normal 3" xfId="6"/>
    <cellStyle name="Normal 3_RHF Surplus Cash Model_040713" xfId="1"/>
    <cellStyle name="Normal 3_RHF Surplus Cash Model_040913c" xfId="2"/>
    <cellStyle name="Percent 2" xfId="7"/>
  </cellStyles>
  <dxfs count="1">
    <dxf>
      <font>
        <color rgb="FFFFFF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D%20Projects\Emmitsburg%20Convent\proformas\Emmitsburg%20Proforma%20with%204%25%20credit%201.4.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silver\Local%20Settings\Temporary%20Internet%20Files\Content.IE5\B1TLX0V0\Strong%20Market%20model%20for%20DHCD_HFA%20Example_0307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ment and TC Processing"/>
      <sheetName val="Assumptions &amp; Calculations"/>
      <sheetName val="Development Costs"/>
      <sheetName val="Acq Price Analysis"/>
      <sheetName val="Draw Schedule"/>
      <sheetName val="Predevelopment Budget"/>
      <sheetName val="Income &amp; Expense"/>
      <sheetName val="Lease up-Credit Delivery"/>
      <sheetName val="Proforma "/>
      <sheetName val="Operating History"/>
      <sheetName val="Amortization"/>
      <sheetName val="MD Rating &amp; Ranking"/>
      <sheetName val="Residual Value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>
        <row r="26">
          <cell r="H26">
            <v>0</v>
          </cell>
        </row>
        <row r="27">
          <cell r="H27">
            <v>293156.86453549995</v>
          </cell>
        </row>
      </sheetData>
      <sheetData sheetId="2">
        <row r="75">
          <cell r="D75">
            <v>10521646.115924895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Ranking"/>
      <sheetName val="Sheet3"/>
      <sheetName val="Sheet4"/>
    </sheetNames>
    <sheetDataSet>
      <sheetData sheetId="0"/>
      <sheetData sheetId="1">
        <row r="93">
          <cell r="G93">
            <v>10</v>
          </cell>
        </row>
        <row r="96">
          <cell r="G96">
            <v>15</v>
          </cell>
        </row>
        <row r="134">
          <cell r="G134">
            <v>10</v>
          </cell>
        </row>
        <row r="145">
          <cell r="G145">
            <v>0</v>
          </cell>
        </row>
        <row r="182">
          <cell r="G182">
            <v>7</v>
          </cell>
        </row>
        <row r="229">
          <cell r="G229">
            <v>10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2:AN197"/>
  <sheetViews>
    <sheetView tabSelected="1" topLeftCell="E13" zoomScaleNormal="100" workbookViewId="0">
      <selection activeCell="S96" sqref="S96"/>
    </sheetView>
  </sheetViews>
  <sheetFormatPr defaultRowHeight="15" x14ac:dyDescent="0.25"/>
  <cols>
    <col min="1" max="1" width="9.140625" style="6" hidden="1" customWidth="1"/>
    <col min="2" max="3" width="16.7109375" style="6" hidden="1" customWidth="1"/>
    <col min="4" max="4" width="12.7109375" style="6" hidden="1" customWidth="1"/>
    <col min="5" max="5" width="6.7109375" style="6" customWidth="1"/>
    <col min="6" max="7" width="0.140625" style="6" customWidth="1"/>
    <col min="8" max="9" width="16.7109375" style="6" customWidth="1"/>
    <col min="10" max="12" width="14.7109375" style="6" customWidth="1"/>
    <col min="13" max="13" width="13.7109375" style="6" customWidth="1"/>
    <col min="14" max="14" width="0.42578125" style="6" customWidth="1"/>
    <col min="15" max="15" width="0.85546875" style="6" customWidth="1"/>
    <col min="16" max="17" width="10.7109375" style="6" customWidth="1"/>
    <col min="18" max="18" width="0.42578125" style="6" customWidth="1"/>
    <col min="19" max="19" width="13.7109375" style="6" customWidth="1"/>
    <col min="20" max="20" width="12.7109375" style="6" customWidth="1"/>
    <col min="21" max="21" width="0.85546875" style="6" customWidth="1"/>
    <col min="22" max="22" width="0.140625" style="6" customWidth="1"/>
    <col min="23" max="23" width="6.7109375" style="6" customWidth="1"/>
    <col min="24" max="24" width="9.7109375" style="6" customWidth="1"/>
    <col min="25" max="25" width="0.140625" style="6" customWidth="1"/>
    <col min="26" max="26" width="6.7109375" style="6" customWidth="1"/>
    <col min="27" max="27" width="18.28515625" style="6" hidden="1" customWidth="1"/>
    <col min="28" max="31" width="12.7109375" style="6" hidden="1" customWidth="1"/>
    <col min="32" max="33" width="15.7109375" style="6" hidden="1" customWidth="1"/>
    <col min="34" max="36" width="12.7109375" style="6" hidden="1" customWidth="1"/>
    <col min="37" max="40" width="9.140625" style="6" hidden="1" customWidth="1"/>
    <col min="41" max="41" width="9.140625" style="6" customWidth="1"/>
    <col min="42" max="16384" width="9.140625" style="6"/>
  </cols>
  <sheetData>
    <row r="2" spans="1:34" ht="15.75" hidden="1" x14ac:dyDescent="0.25">
      <c r="A2" s="1"/>
      <c r="B2" s="1"/>
      <c r="C2" s="1"/>
      <c r="D2" s="1"/>
      <c r="E2" s="1"/>
      <c r="F2" s="1"/>
      <c r="G2" s="1"/>
      <c r="H2" s="1"/>
      <c r="I2" s="1" t="s">
        <v>0</v>
      </c>
      <c r="J2" s="2">
        <f>MIN(J7:J13)</f>
        <v>0.25</v>
      </c>
      <c r="K2" s="2">
        <f>MIN(K7:K13)</f>
        <v>0.25</v>
      </c>
      <c r="L2" s="2">
        <f>MIN(L7:L13)</f>
        <v>0</v>
      </c>
      <c r="M2" s="2">
        <f>MIN(M7:M13)</f>
        <v>0.5</v>
      </c>
      <c r="N2" s="1"/>
      <c r="O2" s="1"/>
      <c r="P2" s="1"/>
      <c r="Q2" s="3">
        <v>0.6</v>
      </c>
      <c r="R2" s="1"/>
      <c r="S2" s="1"/>
      <c r="T2" s="1"/>
      <c r="U2" s="1"/>
      <c r="V2" s="1"/>
      <c r="W2" s="4" t="s">
        <v>1</v>
      </c>
      <c r="X2" s="5">
        <v>0.5</v>
      </c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hidden="1" x14ac:dyDescent="0.25">
      <c r="A3" s="1"/>
      <c r="B3" s="1"/>
      <c r="C3" s="1"/>
      <c r="D3" s="1"/>
      <c r="E3" s="1"/>
      <c r="F3" s="1"/>
      <c r="G3" s="1"/>
      <c r="H3" s="1"/>
      <c r="I3" s="1" t="s">
        <v>2</v>
      </c>
      <c r="J3" s="2">
        <f>MAX(J7:J13)</f>
        <v>0.25</v>
      </c>
      <c r="K3" s="2">
        <f>MAX(K7:K13)</f>
        <v>0.4</v>
      </c>
      <c r="L3" s="2">
        <f>MAX(L7:L13)</f>
        <v>0.25</v>
      </c>
      <c r="M3" s="2">
        <f>MAX(M7:M13)</f>
        <v>0.7</v>
      </c>
      <c r="N3" s="1"/>
      <c r="O3" s="1"/>
      <c r="P3" s="3">
        <v>0.5</v>
      </c>
      <c r="Q3" s="3">
        <v>0.25</v>
      </c>
      <c r="R3" s="1"/>
      <c r="S3" s="1"/>
      <c r="T3" s="1"/>
      <c r="U3" s="1"/>
      <c r="V3" s="1"/>
      <c r="W3" s="4" t="s">
        <v>3</v>
      </c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.75" hidden="1" x14ac:dyDescent="0.25">
      <c r="A4" s="1"/>
      <c r="B4" s="1"/>
      <c r="C4" s="7">
        <v>0.02</v>
      </c>
      <c r="D4" s="1"/>
      <c r="E4" s="1"/>
      <c r="F4" s="1"/>
      <c r="G4" s="1"/>
      <c r="H4" s="8"/>
      <c r="J4" s="1"/>
      <c r="K4" s="1"/>
      <c r="L4" s="1"/>
      <c r="M4" s="1"/>
      <c r="N4" s="1"/>
      <c r="O4" s="1"/>
      <c r="P4" s="9">
        <v>250000</v>
      </c>
      <c r="Q4" s="3">
        <v>0.375</v>
      </c>
      <c r="R4" s="1"/>
      <c r="S4" s="1"/>
      <c r="T4" s="1"/>
      <c r="U4" s="1"/>
      <c r="V4" s="1"/>
      <c r="W4" s="4" t="s">
        <v>4</v>
      </c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15.75" hidden="1" x14ac:dyDescent="0.25">
      <c r="A5" s="1"/>
      <c r="B5" s="1"/>
      <c r="C5" s="7">
        <v>7.0000000000000007E-2</v>
      </c>
      <c r="D5" s="1"/>
      <c r="E5" s="1"/>
      <c r="F5" s="1"/>
      <c r="G5" s="1"/>
      <c r="H5" s="8"/>
      <c r="J5" s="10" t="s">
        <v>5</v>
      </c>
      <c r="K5" s="10" t="s">
        <v>6</v>
      </c>
      <c r="L5" s="10" t="s">
        <v>6</v>
      </c>
      <c r="M5" s="10" t="s">
        <v>6</v>
      </c>
      <c r="N5" s="1"/>
      <c r="O5" s="1"/>
      <c r="P5" s="3">
        <v>0.2</v>
      </c>
      <c r="Q5" s="3">
        <v>0.75</v>
      </c>
      <c r="R5" s="1"/>
      <c r="S5" s="1"/>
      <c r="T5" s="1"/>
      <c r="U5" s="1"/>
      <c r="V5" s="1"/>
      <c r="W5" s="4" t="s">
        <v>7</v>
      </c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idden="1" x14ac:dyDescent="0.25">
      <c r="A6" s="1"/>
      <c r="D6" s="1"/>
      <c r="E6" s="1"/>
      <c r="F6" s="1"/>
      <c r="G6" s="328" t="s">
        <v>8</v>
      </c>
      <c r="H6" s="11" t="s">
        <v>9</v>
      </c>
      <c r="I6" s="11"/>
      <c r="J6" s="12" t="s">
        <v>10</v>
      </c>
      <c r="K6" s="12" t="s">
        <v>10</v>
      </c>
      <c r="L6" s="12" t="s">
        <v>11</v>
      </c>
      <c r="M6" s="12" t="s">
        <v>12</v>
      </c>
      <c r="N6" s="1"/>
      <c r="O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18.75" hidden="1" x14ac:dyDescent="0.25">
      <c r="A7" s="1"/>
      <c r="B7" s="13" t="s">
        <v>13</v>
      </c>
      <c r="C7" s="14">
        <v>357710.36991590151</v>
      </c>
      <c r="D7" s="1"/>
      <c r="E7" s="1"/>
      <c r="F7" s="1"/>
      <c r="G7" s="328"/>
      <c r="H7" s="15" t="s">
        <v>14</v>
      </c>
      <c r="I7" s="15" t="s">
        <v>15</v>
      </c>
      <c r="J7" s="15"/>
      <c r="N7" s="1"/>
      <c r="O7" s="1"/>
      <c r="P7" s="16">
        <v>0.5</v>
      </c>
      <c r="Q7" s="16"/>
      <c r="R7" s="16"/>
      <c r="S7" s="16"/>
      <c r="T7" s="16"/>
      <c r="U7" s="16"/>
      <c r="V7" s="16"/>
      <c r="W7" s="16"/>
      <c r="X7" s="16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8.75" hidden="1" x14ac:dyDescent="0.25">
      <c r="A8" s="1"/>
      <c r="B8" s="13" t="s">
        <v>16</v>
      </c>
      <c r="C8" s="17">
        <f>C7/C5*(1-C4)</f>
        <v>5007945.1788226208</v>
      </c>
      <c r="D8" s="1"/>
      <c r="E8" s="1"/>
      <c r="F8" s="1"/>
      <c r="G8" s="15">
        <v>1</v>
      </c>
      <c r="H8" s="18">
        <v>0</v>
      </c>
      <c r="I8" s="18">
        <v>0</v>
      </c>
      <c r="J8" s="19">
        <v>0.25</v>
      </c>
      <c r="K8" s="19">
        <v>0.3</v>
      </c>
      <c r="L8" s="19">
        <v>0</v>
      </c>
      <c r="M8" s="20">
        <f>1-SUM(K8:L8)</f>
        <v>0.7</v>
      </c>
      <c r="N8" s="1"/>
      <c r="O8" s="1"/>
      <c r="P8" s="21" t="s">
        <v>17</v>
      </c>
      <c r="Q8" s="21"/>
      <c r="R8" s="21"/>
      <c r="S8" s="21"/>
      <c r="T8" s="21"/>
      <c r="U8" s="21"/>
      <c r="V8" s="21"/>
      <c r="W8" s="21"/>
      <c r="X8" s="21"/>
      <c r="Y8" s="1"/>
      <c r="Z8" s="21" t="str">
        <f>CONCATENATE("The Local Government's soft debt is below the ",TEXT(P4,"$#,#0")," threshold level, so their share of the cash flow is 0%.")</f>
        <v>The Local Government's soft debt is below the $250,000 threshold level, so their share of the cash flow is 0%.</v>
      </c>
      <c r="AA8" s="1"/>
      <c r="AB8" s="1"/>
      <c r="AC8" s="1"/>
      <c r="AD8" s="1"/>
      <c r="AE8" s="1"/>
      <c r="AF8" s="1"/>
      <c r="AG8" s="1"/>
      <c r="AH8" s="1"/>
    </row>
    <row r="9" spans="1:34" ht="18.75" hidden="1" x14ac:dyDescent="0.25">
      <c r="A9" s="1"/>
      <c r="B9" s="13" t="s">
        <v>18</v>
      </c>
      <c r="C9" s="14">
        <v>2752452.3135868181</v>
      </c>
      <c r="D9" s="1"/>
      <c r="E9" s="1"/>
      <c r="F9" s="1"/>
      <c r="G9" s="15">
        <v>2</v>
      </c>
      <c r="H9" s="2">
        <f>I8</f>
        <v>0</v>
      </c>
      <c r="I9" s="18">
        <v>0.2</v>
      </c>
      <c r="J9" s="19">
        <v>0.25</v>
      </c>
      <c r="K9" s="19">
        <v>0.3</v>
      </c>
      <c r="L9" s="19">
        <v>0</v>
      </c>
      <c r="M9" s="20">
        <f>1-SUM(K9:L9)</f>
        <v>0.7</v>
      </c>
      <c r="N9" s="1"/>
      <c r="O9" s="1"/>
      <c r="P9" s="22" t="s">
        <v>19</v>
      </c>
      <c r="Q9" s="21"/>
      <c r="R9" s="21"/>
      <c r="S9" s="21"/>
      <c r="T9" s="21"/>
      <c r="U9" s="21"/>
      <c r="V9" s="21"/>
      <c r="W9" s="21"/>
      <c r="X9" s="2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18.75" hidden="1" x14ac:dyDescent="0.25">
      <c r="A10" s="1"/>
      <c r="B10" s="23" t="s">
        <v>20</v>
      </c>
      <c r="C10" s="24">
        <f>C8-C9</f>
        <v>2255492.8652358027</v>
      </c>
      <c r="D10" s="1"/>
      <c r="E10" s="1"/>
      <c r="F10" s="1"/>
      <c r="G10" s="15">
        <v>3</v>
      </c>
      <c r="H10" s="2">
        <f>I9</f>
        <v>0.2</v>
      </c>
      <c r="I10" s="18">
        <v>0.4</v>
      </c>
      <c r="J10" s="19">
        <v>0.25</v>
      </c>
      <c r="K10" s="19">
        <v>0.35</v>
      </c>
      <c r="L10" s="19">
        <v>0</v>
      </c>
      <c r="M10" s="20">
        <f>1-SUM(K10:L10)</f>
        <v>0.65</v>
      </c>
      <c r="N10" s="1"/>
      <c r="O10" s="1"/>
      <c r="P10" s="22" t="s">
        <v>21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18.75" hidden="1" x14ac:dyDescent="0.25">
      <c r="A11" s="1"/>
      <c r="B11" s="1"/>
      <c r="C11" s="1"/>
      <c r="D11" s="1"/>
      <c r="E11" s="1"/>
      <c r="F11" s="1"/>
      <c r="G11" s="15">
        <v>4</v>
      </c>
      <c r="H11" s="2">
        <f>I10</f>
        <v>0.4</v>
      </c>
      <c r="I11" s="18">
        <v>0.6</v>
      </c>
      <c r="J11" s="19">
        <v>0.25</v>
      </c>
      <c r="K11" s="19">
        <v>0.4</v>
      </c>
      <c r="L11" s="19">
        <v>0</v>
      </c>
      <c r="M11" s="20">
        <f>1-SUM(K11:L11)</f>
        <v>0.6</v>
      </c>
      <c r="N11" s="1"/>
      <c r="O11" s="1"/>
      <c r="P11" s="21" t="s">
        <v>22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18.75" hidden="1" x14ac:dyDescent="0.25">
      <c r="A12" s="1"/>
      <c r="B12" s="1"/>
      <c r="C12" s="1"/>
      <c r="D12" s="1"/>
      <c r="E12" s="1"/>
      <c r="F12" s="1"/>
      <c r="G12" s="15">
        <v>5</v>
      </c>
      <c r="H12" s="2">
        <f>I11</f>
        <v>0.6</v>
      </c>
      <c r="I12" s="18">
        <v>0.8</v>
      </c>
      <c r="J12" s="19">
        <v>0.25</v>
      </c>
      <c r="K12" s="19">
        <v>0.25</v>
      </c>
      <c r="L12" s="19">
        <v>0.25</v>
      </c>
      <c r="M12" s="20">
        <f>1-SUM(K12:L12)</f>
        <v>0.5</v>
      </c>
      <c r="N12" s="1"/>
      <c r="O12" s="1"/>
      <c r="P12" s="22" t="s">
        <v>23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x14ac:dyDescent="0.25">
      <c r="A13" s="1"/>
      <c r="B13" s="1"/>
      <c r="C13" s="1"/>
      <c r="D13" s="1"/>
      <c r="E13" s="1"/>
      <c r="F13" s="1"/>
      <c r="G13" s="1"/>
      <c r="H13" s="2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3.9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36" x14ac:dyDescent="0.25">
      <c r="A15" s="1"/>
      <c r="B15" s="1"/>
      <c r="C15" s="1"/>
      <c r="D15" s="1"/>
      <c r="E15" s="26">
        <f>ROUND(SUM(E18:E100),8)</f>
        <v>0</v>
      </c>
      <c r="F15" s="1"/>
      <c r="G15" s="27" t="str">
        <f>IF(E15=0,"Rental Housing Program (RHP) Surplus Cash Worksheet/Schedule","CHECK Schedule Calculations")</f>
        <v>Rental Housing Program (RHP) Surplus Cash Worksheet/Schedule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3.95" hidden="1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33.75" hidden="1" x14ac:dyDescent="0.25">
      <c r="A17" s="1"/>
      <c r="B17" s="1"/>
      <c r="C17" s="1"/>
      <c r="D17" s="1"/>
      <c r="E17" s="1"/>
      <c r="F17" s="1"/>
      <c r="G17" s="28" t="s">
        <v>24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31.5" x14ac:dyDescent="0.25">
      <c r="A18" s="1"/>
      <c r="B18" s="1"/>
      <c r="C18" s="1"/>
      <c r="D18" s="1"/>
      <c r="E18" s="1"/>
      <c r="F18" s="1"/>
      <c r="G18" s="30" t="s">
        <v>25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18.75" x14ac:dyDescent="0.25">
      <c r="A19" s="1"/>
      <c r="B19" s="1"/>
      <c r="C19" s="1"/>
      <c r="D19" s="1"/>
      <c r="E19" s="1"/>
      <c r="F19" s="1"/>
      <c r="G19" s="31" t="s">
        <v>26</v>
      </c>
      <c r="H19" s="32"/>
      <c r="I19" s="32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2"/>
      <c r="U19" s="32"/>
      <c r="V19" s="32"/>
      <c r="W19" s="32"/>
      <c r="X19" s="32"/>
      <c r="Y19" s="34"/>
      <c r="Z19" s="34"/>
      <c r="AA19" s="1"/>
      <c r="AB19" s="1"/>
      <c r="AC19" s="1"/>
      <c r="AD19" s="1"/>
      <c r="AE19" s="1"/>
      <c r="AF19" s="1"/>
      <c r="AG19" s="1"/>
      <c r="AH19" s="1"/>
    </row>
    <row r="20" spans="1:34" ht="6" customHeight="1" x14ac:dyDescent="0.25">
      <c r="A20" s="1"/>
      <c r="B20" s="1"/>
      <c r="C20" s="1"/>
      <c r="D20" s="1"/>
      <c r="E20" s="1"/>
      <c r="F20" s="1"/>
      <c r="G20" s="35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idden="1" x14ac:dyDescent="0.25"/>
    <row r="22" spans="1:34" hidden="1" x14ac:dyDescent="0.25"/>
    <row r="23" spans="1:34" hidden="1" x14ac:dyDescent="0.25"/>
    <row r="24" spans="1:34" hidden="1" x14ac:dyDescent="0.25"/>
    <row r="25" spans="1:34" hidden="1" x14ac:dyDescent="0.25"/>
    <row r="26" spans="1:34" hidden="1" x14ac:dyDescent="0.25"/>
    <row r="27" spans="1:34" hidden="1" x14ac:dyDescent="0.25"/>
    <row r="28" spans="1:34" hidden="1" x14ac:dyDescent="0.25"/>
    <row r="29" spans="1:34" hidden="1" x14ac:dyDescent="0.25"/>
    <row r="30" spans="1:34" hidden="1" x14ac:dyDescent="0.25"/>
    <row r="31" spans="1:34" hidden="1" x14ac:dyDescent="0.25"/>
    <row r="32" spans="1:34" ht="21" hidden="1" x14ac:dyDescent="0.25">
      <c r="A32" s="15"/>
      <c r="B32" s="1"/>
      <c r="C32" s="1"/>
      <c r="D32" s="1"/>
      <c r="E32" s="1"/>
      <c r="F32" s="1"/>
      <c r="G32" s="36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40" ht="21" hidden="1" x14ac:dyDescent="0.25">
      <c r="A33" s="15"/>
      <c r="B33" s="1"/>
      <c r="C33" s="1"/>
      <c r="D33" s="1"/>
      <c r="E33" s="1"/>
      <c r="F33" s="1"/>
      <c r="G33" s="36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40" ht="34.5" thickBot="1" x14ac:dyDescent="0.3">
      <c r="A34" s="1"/>
      <c r="B34" s="1"/>
      <c r="C34" s="1"/>
      <c r="D34" s="1"/>
      <c r="E34" s="1"/>
      <c r="F34" s="1"/>
      <c r="G34" s="37"/>
      <c r="H34" s="38" t="s">
        <v>27</v>
      </c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29"/>
      <c r="Z34" s="1"/>
      <c r="AA34" s="1"/>
      <c r="AB34" s="1"/>
      <c r="AC34" s="1"/>
      <c r="AD34" s="1"/>
      <c r="AE34" s="1"/>
      <c r="AF34" s="1"/>
      <c r="AG34" s="1"/>
      <c r="AH34" s="1"/>
    </row>
    <row r="35" spans="1:40" ht="48" thickBot="1" x14ac:dyDescent="0.3">
      <c r="A35" s="1"/>
      <c r="B35" s="40">
        <f>MIN(J7:J13)</f>
        <v>0.25</v>
      </c>
      <c r="C35" s="41">
        <f>P3</f>
        <v>0.5</v>
      </c>
      <c r="D35" s="42">
        <f>P4</f>
        <v>250000</v>
      </c>
      <c r="F35" s="43"/>
      <c r="G35" s="44"/>
      <c r="H35" s="45" t="s">
        <v>28</v>
      </c>
      <c r="I35" s="46" t="s">
        <v>29</v>
      </c>
      <c r="J35" s="47" t="s">
        <v>30</v>
      </c>
      <c r="K35" s="48" t="s">
        <v>31</v>
      </c>
      <c r="L35" s="49" t="s">
        <v>32</v>
      </c>
      <c r="M35" s="50" t="s">
        <v>33</v>
      </c>
      <c r="N35" s="51"/>
      <c r="O35" s="44"/>
      <c r="P35" s="329" t="s">
        <v>34</v>
      </c>
      <c r="Q35" s="330"/>
      <c r="R35" s="330"/>
      <c r="S35" s="330"/>
      <c r="T35" s="330"/>
      <c r="U35" s="52"/>
      <c r="V35" s="53"/>
      <c r="W35" s="54" t="s">
        <v>35</v>
      </c>
      <c r="X35" s="54"/>
      <c r="Y35" s="55"/>
      <c r="AA35" s="56"/>
      <c r="AB35" s="57" t="s">
        <v>36</v>
      </c>
      <c r="AC35" s="57" t="s">
        <v>37</v>
      </c>
      <c r="AD35" s="57" t="s">
        <v>38</v>
      </c>
      <c r="AE35" s="1"/>
      <c r="AF35" s="1"/>
      <c r="AG35" s="1"/>
      <c r="AH35" s="1"/>
    </row>
    <row r="36" spans="1:40" ht="21.95" customHeight="1" x14ac:dyDescent="0.25">
      <c r="A36" s="15">
        <v>1</v>
      </c>
      <c r="B36" s="1"/>
      <c r="C36" s="40">
        <f>1-MAX(J8:J13)</f>
        <v>0.75</v>
      </c>
      <c r="D36" s="1"/>
      <c r="E36" s="58">
        <f>IF(SUM(H36:I37)=0,"",IF(I36&lt;D$35,K36-0,IF(I39&gt;C$88,K36-D$89,IF(OR(K36=0,J36&lt;=C$35),K36-D$88,(H36/I36)-(J36/K36)))))</f>
        <v>0</v>
      </c>
      <c r="F36" s="331"/>
      <c r="G36" s="332"/>
      <c r="H36" s="335">
        <v>2000000</v>
      </c>
      <c r="I36" s="338">
        <v>2000000</v>
      </c>
      <c r="J36" s="341">
        <f>IF(SUM(H36:I37)=0,"",1-SUM(K36:L39))</f>
        <v>0.5</v>
      </c>
      <c r="K36" s="342">
        <f>IF(SUM(H36:I37)=0,"",IF(I36&lt;D$35,0,IF(I39&gt;C$88,D$89,IF(1-(I39*(1-L36)+L36)&lt;C$35,((1-C$35)-L36),I39*(1-L36)))))</f>
        <v>0.25</v>
      </c>
      <c r="L36" s="345">
        <f>IF(SUM(H36:I37)=0,"",SUMIF($G$8:$G$13,$D39,$J$8:$J$13))</f>
        <v>0.25</v>
      </c>
      <c r="M36" s="348">
        <f>IF(SUM(H36:I37)=0,"",SUM(J36:L36))</f>
        <v>1</v>
      </c>
      <c r="N36" s="59"/>
      <c r="O36" s="60"/>
      <c r="P36" s="351" t="str">
        <f>IF(SUM(H36:I37)=0,"",IF(SUM(H36)=0,"No State Soft Debt Entered",CONCATENATE(IF(AND(NOT(I36=0),I36&lt;P$4),CONCATENATE(Z$8,"  ",P$8),IF(J36&gt;P$7,P$8,"")),"",IF(AND(K36=0,I36&gt;0,NOT(L36=B$35)),P$9,""),CONCATENATE(IF(AE36=""," ",""),IF(AND(NOT(AB37=0),K36=AB37),AE39,AE36)),"",CONCATENATE(IF(K36=AC37," ",""),IF(OR(AND(I36&gt;0,L36=B$35,NOT(K36=AB37)),AND(NOT(K36=AB37),K36&gt;0)),P$10,"")))))</f>
        <v>The Local Government Share of the Surplus Cash is being capped at 25.00% (or 33.33% of the 75.00% non-Developer portion). The Local Government can not negotiate a higher share of the Surplus Cash with DHCD and/or Developer.</v>
      </c>
      <c r="Q36" s="352"/>
      <c r="R36" s="352"/>
      <c r="S36" s="352"/>
      <c r="T36" s="352"/>
      <c r="U36" s="61"/>
      <c r="V36" s="62"/>
      <c r="W36" s="63" t="str">
        <f>W$2</f>
        <v>DHCD</v>
      </c>
      <c r="X36" s="64">
        <f>IF(SUM(H36:I37)=0,"",MIN(J36,$X$2))</f>
        <v>0.5</v>
      </c>
      <c r="Y36" s="65"/>
      <c r="AA36" s="66" t="s">
        <v>39</v>
      </c>
      <c r="AB36" s="56"/>
      <c r="AC36" s="1"/>
      <c r="AD36" s="1"/>
      <c r="AE36" s="67" t="str">
        <f>IF(K36=D$88,AE$86,IF(K36=D$89,AE$87,""))</f>
        <v>The Local Government Share of the Surplus Cash is being capped at 25.00% (or 33.33% of the 75.00% non-Developer portion).</v>
      </c>
      <c r="AF36" s="68"/>
      <c r="AG36" s="68"/>
      <c r="AH36" s="68"/>
      <c r="AI36" s="69"/>
      <c r="AJ36" s="69"/>
      <c r="AK36" s="69"/>
      <c r="AL36" s="69"/>
      <c r="AM36" s="69"/>
      <c r="AN36" s="69"/>
    </row>
    <row r="37" spans="1:40" ht="21.95" customHeight="1" x14ac:dyDescent="0.25">
      <c r="A37" s="15"/>
      <c r="B37" s="1"/>
      <c r="C37" s="40"/>
      <c r="D37" s="1"/>
      <c r="E37" s="58">
        <f>1-M36</f>
        <v>0</v>
      </c>
      <c r="F37" s="333"/>
      <c r="G37" s="334"/>
      <c r="H37" s="336"/>
      <c r="I37" s="339"/>
      <c r="J37" s="314"/>
      <c r="K37" s="343"/>
      <c r="L37" s="346"/>
      <c r="M37" s="349"/>
      <c r="N37" s="70"/>
      <c r="O37" s="71"/>
      <c r="P37" s="278"/>
      <c r="Q37" s="279"/>
      <c r="R37" s="279"/>
      <c r="S37" s="279"/>
      <c r="T37" s="279"/>
      <c r="U37" s="72"/>
      <c r="V37" s="73"/>
      <c r="W37" s="74" t="str">
        <f>W$4</f>
        <v>LG</v>
      </c>
      <c r="X37" s="75">
        <f>IF(SUM(H36:I37)=0,"",K36)</f>
        <v>0.25</v>
      </c>
      <c r="Y37" s="76"/>
      <c r="AA37" s="77" t="s">
        <v>40</v>
      </c>
      <c r="AB37" s="78">
        <f>I39*B$89</f>
        <v>0.375</v>
      </c>
      <c r="AC37" s="78">
        <f>K36</f>
        <v>0.25</v>
      </c>
      <c r="AD37" s="78">
        <f>AC37-AB37</f>
        <v>-0.125</v>
      </c>
      <c r="AE37" s="67"/>
      <c r="AF37" s="68"/>
      <c r="AG37" s="68"/>
      <c r="AH37" s="68"/>
      <c r="AI37" s="69"/>
      <c r="AJ37" s="69"/>
      <c r="AK37" s="69"/>
      <c r="AL37" s="69"/>
      <c r="AM37" s="69"/>
      <c r="AN37" s="69"/>
    </row>
    <row r="38" spans="1:40" ht="21.95" customHeight="1" x14ac:dyDescent="0.25">
      <c r="A38" s="15"/>
      <c r="B38" s="1"/>
      <c r="C38" s="40"/>
      <c r="D38" s="1"/>
      <c r="E38" s="58">
        <f>1-X39</f>
        <v>0</v>
      </c>
      <c r="F38" s="79"/>
      <c r="G38" s="80"/>
      <c r="H38" s="337"/>
      <c r="I38" s="340"/>
      <c r="J38" s="314"/>
      <c r="K38" s="343"/>
      <c r="L38" s="346"/>
      <c r="M38" s="349"/>
      <c r="N38" s="70"/>
      <c r="O38" s="71"/>
      <c r="P38" s="278"/>
      <c r="Q38" s="279"/>
      <c r="R38" s="279"/>
      <c r="S38" s="279"/>
      <c r="T38" s="279"/>
      <c r="U38" s="72"/>
      <c r="V38" s="81"/>
      <c r="W38" s="82" t="str">
        <f>W$3</f>
        <v>Dev</v>
      </c>
      <c r="X38" s="83">
        <f>IF(SUM(H36:I37)=0,"",1-(X36+X37))</f>
        <v>0.25</v>
      </c>
      <c r="Y38" s="84"/>
      <c r="AA38" s="77" t="s">
        <v>41</v>
      </c>
      <c r="AB38" s="85"/>
      <c r="AC38" s="86"/>
      <c r="AD38" s="86"/>
      <c r="AE38" s="67"/>
      <c r="AF38" s="68"/>
      <c r="AG38" s="68"/>
      <c r="AH38" s="68"/>
      <c r="AI38" s="69"/>
      <c r="AJ38" s="69"/>
      <c r="AK38" s="69"/>
      <c r="AL38" s="69"/>
      <c r="AM38" s="69"/>
      <c r="AN38" s="69"/>
    </row>
    <row r="39" spans="1:40" ht="27.95" customHeight="1" thickBot="1" x14ac:dyDescent="0.3">
      <c r="A39" s="15"/>
      <c r="B39" s="87">
        <f>B$89*I39</f>
        <v>0.375</v>
      </c>
      <c r="C39" s="87">
        <f>K36-B39</f>
        <v>-0.125</v>
      </c>
      <c r="D39" s="15">
        <f>IF(I36&lt;D35,G$8,IF(I39&lt;=I$8,G$8,IF(I39&lt;=I$9,G$9,IF(I39&lt;=I$10,G$10,IF(I39&lt;=I$11,G$11,IF(I39&lt;=I$12,G$12,0))))))</f>
        <v>4</v>
      </c>
      <c r="E39" s="13"/>
      <c r="F39" s="88"/>
      <c r="G39" s="89"/>
      <c r="H39" s="90">
        <f>IF(SUM(H36:I37)=0,"",H36/SUM($H36:$I36))</f>
        <v>0.5</v>
      </c>
      <c r="I39" s="91">
        <f>IF(SUM(H36:I37)=0,"",I36/SUM($H36:$I36))</f>
        <v>0.5</v>
      </c>
      <c r="J39" s="315"/>
      <c r="K39" s="344"/>
      <c r="L39" s="347"/>
      <c r="M39" s="350"/>
      <c r="N39" s="92"/>
      <c r="O39" s="89"/>
      <c r="P39" s="280"/>
      <c r="Q39" s="280"/>
      <c r="R39" s="280"/>
      <c r="S39" s="280"/>
      <c r="T39" s="280"/>
      <c r="U39" s="93"/>
      <c r="V39" s="94"/>
      <c r="W39" s="95" t="str">
        <f>W$5</f>
        <v>Total</v>
      </c>
      <c r="X39" s="96">
        <f>IF(SUM(H36:I37)=0,"",SUM(X36:X38))</f>
        <v>1</v>
      </c>
      <c r="Y39" s="97"/>
      <c r="AA39" s="98"/>
      <c r="AB39" s="99"/>
      <c r="AC39" s="99"/>
      <c r="AD39" s="99"/>
      <c r="AE39" s="67" t="str">
        <f>AE$88</f>
        <v>The Local Government is receiving a Prorated Share of the non-Developer portion (75.00%) of the Surplus Cash.</v>
      </c>
      <c r="AF39" s="68"/>
      <c r="AG39" s="68"/>
      <c r="AH39" s="68"/>
      <c r="AI39" s="69"/>
      <c r="AJ39" s="69"/>
      <c r="AK39" s="69"/>
      <c r="AL39" s="69"/>
      <c r="AM39" s="69"/>
      <c r="AN39" s="69"/>
    </row>
    <row r="40" spans="1:40" ht="18" hidden="1" customHeight="1" x14ac:dyDescent="0.25">
      <c r="A40" s="15">
        <f>A36+1</f>
        <v>2</v>
      </c>
      <c r="B40" s="1"/>
      <c r="D40" s="1"/>
      <c r="E40" s="58">
        <f>IF(I40&lt;D$35,L40-0,IF(I42&gt;C$88,L40-D$89,IF(OR(L40=0,J40&lt;=C$35),L40-D$88,(H40/I40)-(J40/L40))))</f>
        <v>0</v>
      </c>
      <c r="F40" s="100"/>
      <c r="G40" s="307"/>
      <c r="H40" s="326">
        <v>2000000</v>
      </c>
      <c r="I40" s="327">
        <v>225000</v>
      </c>
      <c r="J40" s="314">
        <f>1-SUM(K40:L43)</f>
        <v>0.75</v>
      </c>
      <c r="K40" s="317">
        <f>SUMIF($G$8:$G$13,$D43,$J$8:$J$13)</f>
        <v>0.25</v>
      </c>
      <c r="L40" s="320">
        <f>IF(I40&lt;D$35,0,IF(I42&gt;C$88,D$89,IF(1-(I42*(1-K40)+K40)&lt;C$35,((1-C$35)-K40),I42*(1-K40))))</f>
        <v>0</v>
      </c>
      <c r="M40" s="223">
        <f>SUM(J40:L40)</f>
        <v>1</v>
      </c>
      <c r="N40" s="70"/>
      <c r="O40" s="71"/>
      <c r="P40" s="278" t="str">
        <f>CONCATENATE(IF(J40&gt;P$7,P$8,""),"",IF(AND(L40=0,I40&gt;0,NOT(K40=B$35)),P$9,""),CONCATENATE(IF(AE40=""," ",""),IF(AND(NOT(AB41=0),L40=AB41),AE43,AE40)),"",CONCATENATE(IF(L40=AC41," ",""),IF(OR(AND(I40&gt;0,K40=B$35,NOT(L40=AB41)),AND(NOT(L40=AB41),L40&gt;0)),P$10,"")))</f>
        <v>DHCD will only take 50% of Surplus Cash until all Developer Deferred Fees are Paid.  The Local Government can not negotiate a higher share of the Surplus Cash with DHCD and/or Developer.</v>
      </c>
      <c r="Q40" s="279"/>
      <c r="R40" s="279"/>
      <c r="S40" s="279"/>
      <c r="T40" s="279"/>
      <c r="U40" s="72"/>
      <c r="V40" s="101"/>
      <c r="W40" s="102" t="str">
        <f>W$2</f>
        <v>DHCD</v>
      </c>
      <c r="X40" s="103">
        <f>MIN(J40,$X$2)</f>
        <v>0.5</v>
      </c>
      <c r="Y40" s="104"/>
      <c r="Z40" s="66"/>
      <c r="AA40" s="98"/>
      <c r="AB40" s="85"/>
      <c r="AC40" s="86"/>
      <c r="AD40" s="86"/>
      <c r="AE40" s="67" t="str">
        <f>IF(L40=D$88,AE$86,IF(L40=D$89,AE$87,""))</f>
        <v/>
      </c>
      <c r="AF40" s="68"/>
      <c r="AG40" s="68"/>
      <c r="AH40" s="68"/>
      <c r="AI40" s="69"/>
      <c r="AJ40" s="69"/>
      <c r="AK40" s="69"/>
      <c r="AL40" s="69"/>
      <c r="AM40" s="69"/>
      <c r="AN40" s="69"/>
    </row>
    <row r="41" spans="1:40" ht="18" hidden="1" customHeight="1" x14ac:dyDescent="0.25">
      <c r="A41" s="15"/>
      <c r="B41" s="1"/>
      <c r="D41" s="1"/>
      <c r="E41" s="58"/>
      <c r="F41" s="100"/>
      <c r="G41" s="307"/>
      <c r="H41" s="310"/>
      <c r="I41" s="312"/>
      <c r="J41" s="314"/>
      <c r="K41" s="317"/>
      <c r="L41" s="320"/>
      <c r="M41" s="223"/>
      <c r="N41" s="70"/>
      <c r="O41" s="71"/>
      <c r="P41" s="278"/>
      <c r="Q41" s="279"/>
      <c r="R41" s="279"/>
      <c r="S41" s="279"/>
      <c r="T41" s="279"/>
      <c r="U41" s="72"/>
      <c r="V41" s="81"/>
      <c r="W41" s="82" t="str">
        <f>W$3</f>
        <v>Dev</v>
      </c>
      <c r="X41" s="83">
        <f>1-(X40+X42)</f>
        <v>0.5</v>
      </c>
      <c r="Y41" s="104"/>
      <c r="Z41" s="66"/>
      <c r="AA41" s="77" t="s">
        <v>40</v>
      </c>
      <c r="AB41" s="78">
        <f>I42*B$89</f>
        <v>7.5842696629213474E-2</v>
      </c>
      <c r="AC41" s="78">
        <f>L40</f>
        <v>0</v>
      </c>
      <c r="AD41" s="78">
        <f>AC41-AB41</f>
        <v>-7.5842696629213474E-2</v>
      </c>
      <c r="AE41" s="67"/>
      <c r="AF41" s="68"/>
      <c r="AG41" s="68"/>
      <c r="AH41" s="68"/>
      <c r="AI41" s="69"/>
      <c r="AJ41" s="69"/>
      <c r="AK41" s="69"/>
      <c r="AL41" s="69"/>
      <c r="AM41" s="69"/>
      <c r="AN41" s="69"/>
    </row>
    <row r="42" spans="1:40" ht="18" hidden="1" customHeight="1" x14ac:dyDescent="0.25">
      <c r="A42" s="15"/>
      <c r="B42" s="1"/>
      <c r="D42" s="1"/>
      <c r="E42" s="58"/>
      <c r="F42" s="100"/>
      <c r="G42" s="307"/>
      <c r="H42" s="281">
        <f>H40/SUM($H40:$I40)</f>
        <v>0.898876404494382</v>
      </c>
      <c r="I42" s="283">
        <f>I40/SUM($H40:$I40)</f>
        <v>0.10112359550561797</v>
      </c>
      <c r="J42" s="314"/>
      <c r="K42" s="317"/>
      <c r="L42" s="320"/>
      <c r="M42" s="223"/>
      <c r="N42" s="70"/>
      <c r="O42" s="71"/>
      <c r="P42" s="278"/>
      <c r="Q42" s="279"/>
      <c r="R42" s="279"/>
      <c r="S42" s="279"/>
      <c r="T42" s="279"/>
      <c r="U42" s="72"/>
      <c r="V42" s="73"/>
      <c r="W42" s="74" t="str">
        <f>W$4</f>
        <v>LG</v>
      </c>
      <c r="X42" s="75">
        <f>L40</f>
        <v>0</v>
      </c>
      <c r="Y42" s="104"/>
      <c r="Z42" s="66"/>
      <c r="AA42" s="77" t="s">
        <v>41</v>
      </c>
      <c r="AB42" s="85"/>
      <c r="AC42" s="86"/>
      <c r="AD42" s="86"/>
      <c r="AE42" s="67"/>
      <c r="AF42" s="68"/>
      <c r="AG42" s="68"/>
      <c r="AH42" s="68"/>
      <c r="AI42" s="69"/>
      <c r="AJ42" s="69"/>
      <c r="AK42" s="69"/>
      <c r="AL42" s="69"/>
      <c r="AM42" s="69"/>
      <c r="AN42" s="69"/>
    </row>
    <row r="43" spans="1:40" ht="18" hidden="1" customHeight="1" x14ac:dyDescent="0.25">
      <c r="A43" s="15"/>
      <c r="B43" s="87">
        <f>B$89*I42</f>
        <v>7.5842696629213474E-2</v>
      </c>
      <c r="C43" s="87">
        <f>L40-B43</f>
        <v>-7.5842696629213474E-2</v>
      </c>
      <c r="D43" s="15">
        <f>IF(I40&lt;D35,G$8,IF(I42&lt;=I$8,G$8,IF(I42&lt;=I$9,G$9,IF(I42&lt;=I$10,G$10,IF(I42&lt;=I$11,G$11,IF(I42&lt;=I$12,G$12,0))))))</f>
        <v>1</v>
      </c>
      <c r="E43" s="13"/>
      <c r="F43" s="105"/>
      <c r="G43" s="322"/>
      <c r="H43" s="304"/>
      <c r="I43" s="305"/>
      <c r="J43" s="323"/>
      <c r="K43" s="324"/>
      <c r="L43" s="325"/>
      <c r="M43" s="302"/>
      <c r="N43" s="106"/>
      <c r="O43" s="107"/>
      <c r="P43" s="303"/>
      <c r="Q43" s="303"/>
      <c r="R43" s="303"/>
      <c r="S43" s="303"/>
      <c r="T43" s="303"/>
      <c r="U43" s="108"/>
      <c r="V43" s="109"/>
      <c r="W43" s="110" t="str">
        <f>W$5</f>
        <v>Total</v>
      </c>
      <c r="X43" s="111">
        <f>SUM(X40:X42)</f>
        <v>1</v>
      </c>
      <c r="Y43" s="112"/>
      <c r="Z43" s="66"/>
      <c r="AA43" s="66"/>
      <c r="AE43" s="67" t="str">
        <f>AE$88</f>
        <v>The Local Government is receiving a Prorated Share of the non-Developer portion (75.00%) of the Surplus Cash.</v>
      </c>
      <c r="AF43" s="68"/>
      <c r="AG43" s="68"/>
      <c r="AH43" s="68"/>
      <c r="AI43" s="69"/>
      <c r="AJ43" s="69"/>
      <c r="AK43" s="69"/>
      <c r="AL43" s="69"/>
      <c r="AM43" s="69"/>
      <c r="AN43" s="69"/>
    </row>
    <row r="44" spans="1:40" ht="18" hidden="1" customHeight="1" x14ac:dyDescent="0.25">
      <c r="A44" s="15">
        <f>A40+1</f>
        <v>3</v>
      </c>
      <c r="B44" s="1"/>
      <c r="D44" s="1"/>
      <c r="E44" s="58">
        <f>IF(I44&lt;D$35,L44-0,IF(I46&gt;C$88,L44-D$89,IF(OR(L44=0,J44&lt;=C$35),L44-D$88,(H44/I44)-(J44/L44))))</f>
        <v>8.8817841970012523E-16</v>
      </c>
      <c r="F44" s="100"/>
      <c r="G44" s="306"/>
      <c r="H44" s="309">
        <v>2000000</v>
      </c>
      <c r="I44" s="311">
        <v>500000</v>
      </c>
      <c r="J44" s="314">
        <f>1-SUM(K44:L47)</f>
        <v>0.6</v>
      </c>
      <c r="K44" s="317">
        <f>SUMIF($G$8:$G$13,$D47,$J$8:$J$13)</f>
        <v>0.25</v>
      </c>
      <c r="L44" s="319">
        <f>IF(I44&lt;D$35,0,IF(I46&gt;C$88,D$89,IF(1-(I46*(1-K44)+K44)&lt;C$35,((1-C$35)-K44),I46*(1-K44))))</f>
        <v>0.15000000000000002</v>
      </c>
      <c r="M44" s="223">
        <f>SUM(J44:L44)</f>
        <v>1</v>
      </c>
      <c r="N44" s="70"/>
      <c r="O44" s="71"/>
      <c r="P44" s="276" t="str">
        <f>CONCATENATE(IF(J44&gt;P$7,P$8,""),"",IF(AND(L44=0,I44&gt;0,NOT(K44=B$35)),P$9,""),CONCATENATE(IF(AE44=""," ",""),IF(AND(NOT(AB45=0),L44=AB45),AE47,AE44)),"",CONCATENATE(IF(L44=AC45," ",""),IF(OR(AND(I44&gt;0,K44=B$35,NOT(L44=AB45)),AND(NOT(L44=AB45),L44&gt;0)),P$10,"")))</f>
        <v xml:space="preserve">DHCD will only take 50% of Surplus Cash until all Developer Deferred Fees are Paid. The Local Government is receiving a Prorated Share of the non-Developer portion (75.00%) of the Surplus Cash. </v>
      </c>
      <c r="Q44" s="277"/>
      <c r="R44" s="277"/>
      <c r="S44" s="277"/>
      <c r="T44" s="277"/>
      <c r="U44" s="113"/>
      <c r="V44" s="101"/>
      <c r="W44" s="102" t="str">
        <f>W$2</f>
        <v>DHCD</v>
      </c>
      <c r="X44" s="103">
        <f>MIN(J44,$X$2)</f>
        <v>0.5</v>
      </c>
      <c r="Y44" s="104"/>
      <c r="Z44" s="66"/>
      <c r="AA44" s="66"/>
      <c r="AB44" s="56"/>
      <c r="AC44" s="1"/>
      <c r="AD44" s="1"/>
      <c r="AE44" s="67" t="str">
        <f>IF(L44=D$88,AE$86,IF(L44=D$89,AE$87,""))</f>
        <v/>
      </c>
      <c r="AF44" s="68"/>
      <c r="AG44" s="68"/>
      <c r="AH44" s="68"/>
      <c r="AI44" s="69"/>
      <c r="AJ44" s="69"/>
      <c r="AK44" s="69"/>
      <c r="AL44" s="69"/>
      <c r="AM44" s="69"/>
      <c r="AN44" s="69"/>
    </row>
    <row r="45" spans="1:40" ht="18" hidden="1" customHeight="1" x14ac:dyDescent="0.25">
      <c r="A45" s="15"/>
      <c r="B45" s="1"/>
      <c r="D45" s="1"/>
      <c r="E45" s="58"/>
      <c r="F45" s="100"/>
      <c r="G45" s="307"/>
      <c r="H45" s="310"/>
      <c r="I45" s="312"/>
      <c r="J45" s="314"/>
      <c r="K45" s="317"/>
      <c r="L45" s="320"/>
      <c r="M45" s="223"/>
      <c r="N45" s="70"/>
      <c r="O45" s="71"/>
      <c r="P45" s="278"/>
      <c r="Q45" s="279"/>
      <c r="R45" s="279"/>
      <c r="S45" s="279"/>
      <c r="T45" s="279"/>
      <c r="U45" s="72"/>
      <c r="V45" s="81"/>
      <c r="W45" s="82" t="str">
        <f>W$3</f>
        <v>Dev</v>
      </c>
      <c r="X45" s="83">
        <f>1-(X44+X46)</f>
        <v>0.35</v>
      </c>
      <c r="Y45" s="104"/>
      <c r="Z45" s="66"/>
      <c r="AA45" s="66"/>
      <c r="AB45" s="114">
        <f>I46*B$89</f>
        <v>0.15000000000000002</v>
      </c>
      <c r="AC45" s="114">
        <f>L44</f>
        <v>0.15000000000000002</v>
      </c>
      <c r="AD45" s="114">
        <f>AC45-AB45</f>
        <v>0</v>
      </c>
      <c r="AE45" s="67"/>
      <c r="AF45" s="68"/>
      <c r="AG45" s="68"/>
      <c r="AH45" s="68"/>
      <c r="AI45" s="69"/>
      <c r="AJ45" s="69"/>
      <c r="AK45" s="69"/>
      <c r="AL45" s="69"/>
      <c r="AM45" s="69"/>
      <c r="AN45" s="69"/>
    </row>
    <row r="46" spans="1:40" ht="18" hidden="1" customHeight="1" x14ac:dyDescent="0.25">
      <c r="A46" s="15"/>
      <c r="B46" s="1"/>
      <c r="D46" s="1"/>
      <c r="E46" s="58"/>
      <c r="F46" s="100"/>
      <c r="G46" s="307"/>
      <c r="H46" s="281">
        <f>H44/SUM($H44:$I44)</f>
        <v>0.8</v>
      </c>
      <c r="I46" s="283">
        <f>I44/SUM($H44:$I44)</f>
        <v>0.2</v>
      </c>
      <c r="J46" s="314"/>
      <c r="K46" s="317"/>
      <c r="L46" s="320"/>
      <c r="M46" s="223"/>
      <c r="N46" s="70"/>
      <c r="O46" s="71"/>
      <c r="P46" s="278"/>
      <c r="Q46" s="279"/>
      <c r="R46" s="279"/>
      <c r="S46" s="279"/>
      <c r="T46" s="279"/>
      <c r="U46" s="72"/>
      <c r="V46" s="73"/>
      <c r="W46" s="74" t="str">
        <f>W$4</f>
        <v>LG</v>
      </c>
      <c r="X46" s="75">
        <f>L44</f>
        <v>0.15000000000000002</v>
      </c>
      <c r="Y46" s="104"/>
      <c r="Z46" s="66"/>
      <c r="AA46" s="66"/>
      <c r="AB46" s="56"/>
      <c r="AC46" s="1"/>
      <c r="AD46" s="1"/>
      <c r="AE46" s="67"/>
      <c r="AF46" s="68"/>
      <c r="AG46" s="68"/>
      <c r="AH46" s="68"/>
      <c r="AI46" s="69"/>
      <c r="AJ46" s="69"/>
      <c r="AK46" s="69"/>
      <c r="AL46" s="69"/>
      <c r="AM46" s="69"/>
      <c r="AN46" s="69"/>
    </row>
    <row r="47" spans="1:40" ht="18" hidden="1" customHeight="1" x14ac:dyDescent="0.25">
      <c r="A47" s="15"/>
      <c r="B47" s="87">
        <f>B$89*I46</f>
        <v>0.15000000000000002</v>
      </c>
      <c r="C47" s="87">
        <f>L44-B47</f>
        <v>0</v>
      </c>
      <c r="D47" s="15">
        <f>IF(I44&lt;D39,G$8,IF(I46&lt;=I$8,G$8,IF(I46&lt;=I$9,G$9,IF(I46&lt;=I$10,G$10,IF(I46&lt;=I$11,G$11,IF(I46&lt;=I$12,G$12,0))))))</f>
        <v>2</v>
      </c>
      <c r="E47" s="13"/>
      <c r="F47" s="105"/>
      <c r="G47" s="322"/>
      <c r="H47" s="304"/>
      <c r="I47" s="305"/>
      <c r="J47" s="323"/>
      <c r="K47" s="324"/>
      <c r="L47" s="325"/>
      <c r="M47" s="302"/>
      <c r="N47" s="106"/>
      <c r="O47" s="107"/>
      <c r="P47" s="303"/>
      <c r="Q47" s="303"/>
      <c r="R47" s="303"/>
      <c r="S47" s="303"/>
      <c r="T47" s="303"/>
      <c r="U47" s="108"/>
      <c r="V47" s="109"/>
      <c r="W47" s="110" t="str">
        <f>W$5</f>
        <v>Total</v>
      </c>
      <c r="X47" s="111">
        <f>SUM(X44:X46)</f>
        <v>1</v>
      </c>
      <c r="Y47" s="112"/>
      <c r="Z47" s="66"/>
      <c r="AA47" s="66"/>
      <c r="AE47" s="67" t="str">
        <f>AE$88</f>
        <v>The Local Government is receiving a Prorated Share of the non-Developer portion (75.00%) of the Surplus Cash.</v>
      </c>
      <c r="AF47" s="68"/>
      <c r="AG47" s="68"/>
      <c r="AH47" s="68"/>
      <c r="AI47" s="69"/>
      <c r="AJ47" s="69"/>
      <c r="AK47" s="69"/>
      <c r="AL47" s="69"/>
      <c r="AM47" s="69"/>
      <c r="AN47" s="69"/>
    </row>
    <row r="48" spans="1:40" ht="18" hidden="1" customHeight="1" x14ac:dyDescent="0.25">
      <c r="A48" s="15">
        <f>A44+1</f>
        <v>4</v>
      </c>
      <c r="B48" s="1"/>
      <c r="D48" s="1"/>
      <c r="E48" s="58">
        <f>IF(I48&lt;D$35,L48-0,IF(I50&gt;C$88,L48-D$89,IF(OR(L48=0,J48&lt;=C$35),L48-D$88,(H48/I48)-(J48/L48))))</f>
        <v>0</v>
      </c>
      <c r="F48" s="100"/>
      <c r="G48" s="306"/>
      <c r="H48" s="309">
        <v>2000000</v>
      </c>
      <c r="I48" s="311">
        <v>750000</v>
      </c>
      <c r="J48" s="314">
        <f>1-SUM(K48:L51)</f>
        <v>0.54545454545454541</v>
      </c>
      <c r="K48" s="317">
        <f>SUMIF($G$8:$G$13,$D51,$J$8:$J$13)</f>
        <v>0.25</v>
      </c>
      <c r="L48" s="319">
        <f>IF(I48&lt;D$35,0,IF(I50&gt;C$88,D$89,IF(1-(I50*(1-K48)+K48)&lt;C$35,((1-C$35)-K48),I50*(1-K48))))</f>
        <v>0.20454545454545453</v>
      </c>
      <c r="M48" s="223">
        <f>SUM(J48:L48)</f>
        <v>1</v>
      </c>
      <c r="N48" s="70"/>
      <c r="O48" s="71"/>
      <c r="P48" s="276" t="str">
        <f>CONCATENATE(IF(J48&gt;P$7,P$8,""),"",IF(AND(L48=0,I48&gt;0,NOT(K48=B$35)),P$9,""),CONCATENATE(IF(AE48=""," ",""),IF(AND(NOT(AB49=0),L48=AB49),AE51,AE48)),"",CONCATENATE(IF(L48=AC49," ",""),IF(OR(AND(I48&gt;0,K48=B$35,NOT(L48=AB49)),AND(NOT(L48=AB49),L48&gt;0)),P$10,"")))</f>
        <v xml:space="preserve">DHCD will only take 50% of Surplus Cash until all Developer Deferred Fees are Paid. The Local Government is receiving a Prorated Share of the non-Developer portion (75.00%) of the Surplus Cash. </v>
      </c>
      <c r="Q48" s="277"/>
      <c r="R48" s="277"/>
      <c r="S48" s="277"/>
      <c r="T48" s="277"/>
      <c r="U48" s="113"/>
      <c r="V48" s="101"/>
      <c r="W48" s="102" t="str">
        <f>W$2</f>
        <v>DHCD</v>
      </c>
      <c r="X48" s="103">
        <f>MIN(J48,$X$2)</f>
        <v>0.5</v>
      </c>
      <c r="Y48" s="104"/>
      <c r="Z48" s="66"/>
      <c r="AA48" s="66"/>
      <c r="AB48" s="56"/>
      <c r="AC48" s="1"/>
      <c r="AD48" s="1"/>
      <c r="AE48" s="67" t="str">
        <f>IF(L48=D$88,AE$86,IF(L48=D$89,AE$87,""))</f>
        <v/>
      </c>
      <c r="AF48" s="68"/>
      <c r="AG48" s="68"/>
      <c r="AH48" s="68"/>
      <c r="AI48" s="69"/>
      <c r="AJ48" s="69"/>
      <c r="AK48" s="69"/>
      <c r="AL48" s="69"/>
      <c r="AM48" s="69"/>
      <c r="AN48" s="69"/>
    </row>
    <row r="49" spans="1:40" ht="18" hidden="1" customHeight="1" x14ac:dyDescent="0.25">
      <c r="A49" s="15"/>
      <c r="B49" s="1"/>
      <c r="D49" s="1"/>
      <c r="E49" s="58"/>
      <c r="F49" s="100"/>
      <c r="G49" s="307"/>
      <c r="H49" s="310"/>
      <c r="I49" s="312"/>
      <c r="J49" s="314"/>
      <c r="K49" s="317"/>
      <c r="L49" s="320"/>
      <c r="M49" s="223"/>
      <c r="N49" s="70"/>
      <c r="O49" s="71"/>
      <c r="P49" s="278"/>
      <c r="Q49" s="279"/>
      <c r="R49" s="279"/>
      <c r="S49" s="279"/>
      <c r="T49" s="279"/>
      <c r="U49" s="72"/>
      <c r="V49" s="81"/>
      <c r="W49" s="82" t="str">
        <f>W$3</f>
        <v>Dev</v>
      </c>
      <c r="X49" s="83">
        <f>1-(X48+X50)</f>
        <v>0.29545454545454541</v>
      </c>
      <c r="Y49" s="104"/>
      <c r="Z49" s="66"/>
      <c r="AA49" s="66"/>
      <c r="AB49" s="114">
        <f>I50*B$89</f>
        <v>0.20454545454545453</v>
      </c>
      <c r="AC49" s="114">
        <f>L48</f>
        <v>0.20454545454545453</v>
      </c>
      <c r="AD49" s="114">
        <f>AC49-AB49</f>
        <v>0</v>
      </c>
      <c r="AE49" s="67"/>
      <c r="AF49" s="68"/>
      <c r="AG49" s="68"/>
      <c r="AH49" s="68"/>
      <c r="AI49" s="69"/>
      <c r="AJ49" s="69"/>
      <c r="AK49" s="69"/>
      <c r="AL49" s="69"/>
      <c r="AM49" s="69"/>
      <c r="AN49" s="69"/>
    </row>
    <row r="50" spans="1:40" ht="18" hidden="1" customHeight="1" x14ac:dyDescent="0.25">
      <c r="A50" s="15"/>
      <c r="B50" s="1"/>
      <c r="D50" s="1"/>
      <c r="E50" s="58"/>
      <c r="F50" s="100"/>
      <c r="G50" s="307"/>
      <c r="H50" s="281">
        <f>H48/SUM($H48:$I48)</f>
        <v>0.72727272727272729</v>
      </c>
      <c r="I50" s="283">
        <f>I48/SUM($H48:$I48)</f>
        <v>0.27272727272727271</v>
      </c>
      <c r="J50" s="314"/>
      <c r="K50" s="317"/>
      <c r="L50" s="320"/>
      <c r="M50" s="223"/>
      <c r="N50" s="70"/>
      <c r="O50" s="71"/>
      <c r="P50" s="278"/>
      <c r="Q50" s="279"/>
      <c r="R50" s="279"/>
      <c r="S50" s="279"/>
      <c r="T50" s="279"/>
      <c r="U50" s="72"/>
      <c r="V50" s="73"/>
      <c r="W50" s="74" t="str">
        <f>W$4</f>
        <v>LG</v>
      </c>
      <c r="X50" s="75">
        <f>L48</f>
        <v>0.20454545454545453</v>
      </c>
      <c r="Y50" s="104"/>
      <c r="Z50" s="66"/>
      <c r="AA50" s="66"/>
      <c r="AB50" s="56"/>
      <c r="AC50" s="1"/>
      <c r="AD50" s="1"/>
      <c r="AE50" s="67"/>
      <c r="AF50" s="68"/>
      <c r="AG50" s="68"/>
      <c r="AH50" s="68"/>
      <c r="AI50" s="69"/>
      <c r="AJ50" s="69"/>
      <c r="AK50" s="69"/>
      <c r="AL50" s="69"/>
      <c r="AM50" s="69"/>
      <c r="AN50" s="69"/>
    </row>
    <row r="51" spans="1:40" ht="18" hidden="1" customHeight="1" x14ac:dyDescent="0.25">
      <c r="A51" s="15"/>
      <c r="B51" s="87">
        <f>B$89*I50</f>
        <v>0.20454545454545453</v>
      </c>
      <c r="C51" s="87">
        <f>L48-B51</f>
        <v>0</v>
      </c>
      <c r="D51" s="15">
        <f>IF(I48&lt;D43,G$8,IF(I50&lt;=I$8,G$8,IF(I50&lt;=I$9,G$9,IF(I50&lt;=I$10,G$10,IF(I50&lt;=I$11,G$11,IF(I50&lt;=I$12,G$12,0))))))</f>
        <v>3</v>
      </c>
      <c r="E51" s="13"/>
      <c r="F51" s="105"/>
      <c r="G51" s="322"/>
      <c r="H51" s="304"/>
      <c r="I51" s="305"/>
      <c r="J51" s="323"/>
      <c r="K51" s="324"/>
      <c r="L51" s="325"/>
      <c r="M51" s="302"/>
      <c r="N51" s="106"/>
      <c r="O51" s="107"/>
      <c r="P51" s="303"/>
      <c r="Q51" s="303"/>
      <c r="R51" s="303"/>
      <c r="S51" s="303"/>
      <c r="T51" s="303"/>
      <c r="U51" s="108"/>
      <c r="V51" s="109"/>
      <c r="W51" s="110" t="str">
        <f>W$5</f>
        <v>Total</v>
      </c>
      <c r="X51" s="111">
        <f>SUM(X48:X50)</f>
        <v>1</v>
      </c>
      <c r="Y51" s="112"/>
      <c r="Z51" s="66"/>
      <c r="AA51" s="66"/>
      <c r="AE51" s="67" t="str">
        <f>AE$88</f>
        <v>The Local Government is receiving a Prorated Share of the non-Developer portion (75.00%) of the Surplus Cash.</v>
      </c>
      <c r="AF51" s="68"/>
      <c r="AG51" s="68"/>
      <c r="AH51" s="68"/>
      <c r="AI51" s="69"/>
      <c r="AJ51" s="69"/>
      <c r="AK51" s="69"/>
      <c r="AL51" s="69"/>
      <c r="AM51" s="69"/>
      <c r="AN51" s="69"/>
    </row>
    <row r="52" spans="1:40" ht="18" hidden="1" customHeight="1" x14ac:dyDescent="0.25">
      <c r="A52" s="15">
        <f>A48+1</f>
        <v>5</v>
      </c>
      <c r="B52" s="1"/>
      <c r="D52" s="1"/>
      <c r="E52" s="58">
        <f>IF(I52&lt;D$35,L52-0,IF(I54&gt;C$88,L52-D$89,IF(OR(L52=0,J52&lt;=C$35),L52-D$88,(H52/I52)-(J52/L52))))</f>
        <v>0</v>
      </c>
      <c r="F52" s="100"/>
      <c r="G52" s="307"/>
      <c r="H52" s="309">
        <v>2000000</v>
      </c>
      <c r="I52" s="311">
        <v>1000000</v>
      </c>
      <c r="J52" s="314">
        <f>1-SUM(K52:L55)</f>
        <v>0.5</v>
      </c>
      <c r="K52" s="317">
        <f>SUMIF($G$8:$G$13,$D55,$J$8:$J$13)</f>
        <v>0.25</v>
      </c>
      <c r="L52" s="319">
        <f>IF(I52&lt;D$35,0,IF(I54&gt;C$88,D$89,IF(1-(I54*(1-K52)+K52)&lt;C$35,((1-C$35)-K52),I54*(1-K52))))</f>
        <v>0.25</v>
      </c>
      <c r="M52" s="223">
        <f>SUM(J52:L52)</f>
        <v>1</v>
      </c>
      <c r="N52" s="70"/>
      <c r="O52" s="71"/>
      <c r="P52" s="276" t="str">
        <f>CONCATENATE(IF(J52&gt;P$7,P$8,""),"",IF(AND(L52=0,I52&gt;0,NOT(K52=B$35)),P$9,""),CONCATENATE(IF(AE52=""," ",""),IF(AND(NOT(AB53=0),L52=AB53),AE55,AE52)),"",CONCATENATE(IF(L52=AC53," ",""),IF(OR(AND(I52&gt;0,K52=B$35,NOT(L52=AB53)),AND(NOT(L52=AB53),L52&gt;0)),P$10,"")))</f>
        <v xml:space="preserve">The Local Government is receiving a Prorated Share of the non-Developer portion (75.00%) of the Surplus Cash. </v>
      </c>
      <c r="Q52" s="277"/>
      <c r="R52" s="277"/>
      <c r="S52" s="277"/>
      <c r="T52" s="277"/>
      <c r="U52" s="113"/>
      <c r="V52" s="101"/>
      <c r="W52" s="102" t="str">
        <f>W$2</f>
        <v>DHCD</v>
      </c>
      <c r="X52" s="103">
        <f>MIN(J52,$X$2)</f>
        <v>0.5</v>
      </c>
      <c r="Y52" s="104"/>
      <c r="Z52" s="66"/>
      <c r="AA52" s="66"/>
      <c r="AB52" s="56"/>
      <c r="AC52" s="1"/>
      <c r="AD52" s="1"/>
      <c r="AE52" s="67" t="str">
        <f>IF(L52=D$88,AE$86,IF(L52=D$89,AE$87,""))</f>
        <v>The Local Government Share of the Surplus Cash is being capped at 25.00% (or 33.33% of the 75.00% non-Developer portion).</v>
      </c>
      <c r="AF52" s="68"/>
      <c r="AG52" s="68"/>
      <c r="AH52" s="68"/>
      <c r="AI52" s="69"/>
      <c r="AJ52" s="69"/>
      <c r="AK52" s="69"/>
      <c r="AL52" s="69"/>
      <c r="AM52" s="69"/>
      <c r="AN52" s="69"/>
    </row>
    <row r="53" spans="1:40" ht="18" hidden="1" customHeight="1" x14ac:dyDescent="0.25">
      <c r="A53" s="15"/>
      <c r="B53" s="1"/>
      <c r="D53" s="1"/>
      <c r="E53" s="58"/>
      <c r="F53" s="100"/>
      <c r="G53" s="307"/>
      <c r="H53" s="310"/>
      <c r="I53" s="312"/>
      <c r="J53" s="314"/>
      <c r="K53" s="317"/>
      <c r="L53" s="320"/>
      <c r="M53" s="223"/>
      <c r="N53" s="70"/>
      <c r="O53" s="71"/>
      <c r="P53" s="278"/>
      <c r="Q53" s="279"/>
      <c r="R53" s="279"/>
      <c r="S53" s="279"/>
      <c r="T53" s="279"/>
      <c r="U53" s="72"/>
      <c r="V53" s="81"/>
      <c r="W53" s="82" t="str">
        <f>W$3</f>
        <v>Dev</v>
      </c>
      <c r="X53" s="83">
        <f>1-(X52+X54)</f>
        <v>0.25</v>
      </c>
      <c r="Y53" s="104"/>
      <c r="Z53" s="66"/>
      <c r="AA53" s="66"/>
      <c r="AB53" s="114">
        <f>I54*B$89</f>
        <v>0.25</v>
      </c>
      <c r="AC53" s="114">
        <f>L52</f>
        <v>0.25</v>
      </c>
      <c r="AD53" s="114">
        <f>AC53-AB53</f>
        <v>0</v>
      </c>
      <c r="AE53" s="67"/>
      <c r="AF53" s="68"/>
      <c r="AG53" s="68"/>
      <c r="AH53" s="68"/>
      <c r="AI53" s="69"/>
      <c r="AJ53" s="69"/>
      <c r="AK53" s="69"/>
      <c r="AL53" s="69"/>
      <c r="AM53" s="69"/>
      <c r="AN53" s="69"/>
    </row>
    <row r="54" spans="1:40" ht="18" hidden="1" customHeight="1" x14ac:dyDescent="0.25">
      <c r="A54" s="15"/>
      <c r="B54" s="1"/>
      <c r="D54" s="1"/>
      <c r="E54" s="58"/>
      <c r="F54" s="100"/>
      <c r="G54" s="307"/>
      <c r="H54" s="281">
        <f>H52/SUM($H52:$I52)</f>
        <v>0.66666666666666663</v>
      </c>
      <c r="I54" s="283">
        <f>I52/SUM($H52:$I52)</f>
        <v>0.33333333333333331</v>
      </c>
      <c r="J54" s="314"/>
      <c r="K54" s="317"/>
      <c r="L54" s="320"/>
      <c r="M54" s="223"/>
      <c r="N54" s="70"/>
      <c r="O54" s="71"/>
      <c r="P54" s="278"/>
      <c r="Q54" s="279"/>
      <c r="R54" s="279"/>
      <c r="S54" s="279"/>
      <c r="T54" s="279"/>
      <c r="U54" s="72"/>
      <c r="V54" s="73"/>
      <c r="W54" s="74" t="str">
        <f>W$4</f>
        <v>LG</v>
      </c>
      <c r="X54" s="75">
        <f>L52</f>
        <v>0.25</v>
      </c>
      <c r="Y54" s="104"/>
      <c r="Z54" s="66"/>
      <c r="AA54" s="66"/>
      <c r="AB54" s="56"/>
      <c r="AC54" s="1"/>
      <c r="AD54" s="1"/>
      <c r="AE54" s="67"/>
      <c r="AF54" s="68"/>
      <c r="AG54" s="68"/>
      <c r="AH54" s="68"/>
      <c r="AI54" s="69"/>
      <c r="AJ54" s="69"/>
      <c r="AK54" s="69"/>
      <c r="AL54" s="69"/>
      <c r="AM54" s="69"/>
      <c r="AN54" s="69"/>
    </row>
    <row r="55" spans="1:40" ht="18" hidden="1" customHeight="1" x14ac:dyDescent="0.25">
      <c r="A55" s="15"/>
      <c r="B55" s="87">
        <f>B$89*I54</f>
        <v>0.25</v>
      </c>
      <c r="C55" s="87">
        <f>L52-B55</f>
        <v>0</v>
      </c>
      <c r="D55" s="15">
        <f>IF(I52&lt;D35,G$8,IF(I54&lt;=I$8,G$8,IF(I54&lt;=I$9,G$9,IF(I54&lt;=I$10,G$10,IF(I54&lt;=I$11,G$11,IF(I54&lt;=I$12,G$12,0))))))</f>
        <v>3</v>
      </c>
      <c r="E55" s="13"/>
      <c r="F55" s="105"/>
      <c r="G55" s="322"/>
      <c r="H55" s="304"/>
      <c r="I55" s="305"/>
      <c r="J55" s="323"/>
      <c r="K55" s="324"/>
      <c r="L55" s="325"/>
      <c r="M55" s="302"/>
      <c r="N55" s="106"/>
      <c r="O55" s="107"/>
      <c r="P55" s="303"/>
      <c r="Q55" s="303"/>
      <c r="R55" s="303"/>
      <c r="S55" s="303"/>
      <c r="T55" s="303"/>
      <c r="U55" s="108"/>
      <c r="V55" s="109"/>
      <c r="W55" s="110" t="str">
        <f>W$5</f>
        <v>Total</v>
      </c>
      <c r="X55" s="111">
        <f>SUM(X52:X54)</f>
        <v>1</v>
      </c>
      <c r="Y55" s="112"/>
      <c r="Z55" s="66"/>
      <c r="AA55" s="66"/>
      <c r="AE55" s="67" t="str">
        <f>AE$88</f>
        <v>The Local Government is receiving a Prorated Share of the non-Developer portion (75.00%) of the Surplus Cash.</v>
      </c>
      <c r="AF55" s="68"/>
      <c r="AG55" s="68"/>
      <c r="AH55" s="68"/>
      <c r="AI55" s="69"/>
      <c r="AJ55" s="69"/>
      <c r="AK55" s="69"/>
      <c r="AL55" s="69"/>
      <c r="AM55" s="69"/>
      <c r="AN55" s="69"/>
    </row>
    <row r="56" spans="1:40" ht="18" hidden="1" customHeight="1" x14ac:dyDescent="0.25">
      <c r="A56" s="15">
        <f>A52+1</f>
        <v>6</v>
      </c>
      <c r="B56" s="1"/>
      <c r="D56" s="1"/>
      <c r="E56" s="58">
        <f>IF(I56&lt;D$35,L56-0,IF(I58&gt;C$88,L56-D$89,IF(OR(L56=0,J56&lt;=C$35),L56-D$88,(H56/I56)-(J56/L56))))</f>
        <v>0</v>
      </c>
      <c r="F56" s="100"/>
      <c r="G56" s="307"/>
      <c r="H56" s="309">
        <v>2000000</v>
      </c>
      <c r="I56" s="311">
        <v>1500000</v>
      </c>
      <c r="J56" s="314">
        <f>1-SUM(K56:L59)</f>
        <v>0.5</v>
      </c>
      <c r="K56" s="317">
        <f>SUMIF($G$8:$G$13,$D59,$J$8:$J$13)</f>
        <v>0.25</v>
      </c>
      <c r="L56" s="319">
        <f>IF(I56&lt;D$35,0,IF(I58&gt;C$88,D$89,IF(1-(I58*(1-K56)+K56)&lt;C$35,((1-C$35)-K56),I58*(1-K56))))</f>
        <v>0.25</v>
      </c>
      <c r="M56" s="223">
        <f>SUM(J56:L56)</f>
        <v>1</v>
      </c>
      <c r="N56" s="70"/>
      <c r="O56" s="71"/>
      <c r="P56" s="276" t="str">
        <f>CONCATENATE(IF(J56&gt;P$7,P$8,""),"",IF(AND(L56=0,I56&gt;0,NOT(K56=B$35)),P$9,""),CONCATENATE(IF(AE56=""," ",""),IF(AND(NOT(AB57=0),L56=AB57),AE59,AE56)),"",CONCATENATE(IF(L56=AC57," ",""),IF(OR(AND(I56&gt;0,K56=B$35,NOT(L56=AB57)),AND(NOT(L56=AB57),L56&gt;0)),P$10,"")))</f>
        <v>The Local Government Share of the Surplus Cash is being capped at 25.00% (or 33.33% of the 75.00% non-Developer portion). The Local Government can not negotiate a higher share of the Surplus Cash with DHCD and/or Developer.</v>
      </c>
      <c r="Q56" s="277"/>
      <c r="R56" s="277"/>
      <c r="S56" s="277"/>
      <c r="T56" s="277"/>
      <c r="U56" s="113"/>
      <c r="V56" s="101"/>
      <c r="W56" s="102" t="str">
        <f>W$2</f>
        <v>DHCD</v>
      </c>
      <c r="X56" s="103">
        <f>MIN(J56,$X$2)</f>
        <v>0.5</v>
      </c>
      <c r="Y56" s="104"/>
      <c r="Z56" s="66"/>
      <c r="AA56" s="66"/>
      <c r="AB56" s="56"/>
      <c r="AC56" s="1"/>
      <c r="AD56" s="1"/>
      <c r="AE56" s="67" t="str">
        <f>IF(L56=D$88,AE$86,IF(L56=D$89,AE$87,""))</f>
        <v>The Local Government Share of the Surplus Cash is being capped at 25.00% (or 33.33% of the 75.00% non-Developer portion).</v>
      </c>
      <c r="AF56" s="68"/>
      <c r="AG56" s="68"/>
      <c r="AH56" s="68"/>
      <c r="AI56" s="69"/>
      <c r="AJ56" s="69"/>
      <c r="AK56" s="69"/>
      <c r="AL56" s="69"/>
      <c r="AM56" s="69"/>
      <c r="AN56" s="69"/>
    </row>
    <row r="57" spans="1:40" ht="18" hidden="1" customHeight="1" x14ac:dyDescent="0.25">
      <c r="A57" s="15"/>
      <c r="B57" s="1"/>
      <c r="D57" s="1"/>
      <c r="E57" s="58"/>
      <c r="F57" s="100"/>
      <c r="G57" s="307"/>
      <c r="H57" s="310"/>
      <c r="I57" s="312"/>
      <c r="J57" s="314"/>
      <c r="K57" s="317"/>
      <c r="L57" s="320"/>
      <c r="M57" s="223"/>
      <c r="N57" s="70"/>
      <c r="O57" s="71"/>
      <c r="P57" s="278"/>
      <c r="Q57" s="279"/>
      <c r="R57" s="279"/>
      <c r="S57" s="279"/>
      <c r="T57" s="279"/>
      <c r="U57" s="72"/>
      <c r="V57" s="81"/>
      <c r="W57" s="82" t="str">
        <f>W$3</f>
        <v>Dev</v>
      </c>
      <c r="X57" s="83">
        <f>1-(X56+X58)</f>
        <v>0.25</v>
      </c>
      <c r="Y57" s="104"/>
      <c r="Z57" s="66"/>
      <c r="AA57" s="66"/>
      <c r="AB57" s="114">
        <f>I58*B$89</f>
        <v>0.3214285714285714</v>
      </c>
      <c r="AC57" s="114">
        <f>L56</f>
        <v>0.25</v>
      </c>
      <c r="AD57" s="114">
        <f>AC57-AB57</f>
        <v>-7.1428571428571397E-2</v>
      </c>
      <c r="AE57" s="67"/>
      <c r="AF57" s="68"/>
      <c r="AG57" s="68"/>
      <c r="AH57" s="68"/>
      <c r="AI57" s="69"/>
      <c r="AJ57" s="69"/>
      <c r="AK57" s="69"/>
      <c r="AL57" s="69"/>
      <c r="AM57" s="69"/>
      <c r="AN57" s="69"/>
    </row>
    <row r="58" spans="1:40" ht="18" hidden="1" customHeight="1" x14ac:dyDescent="0.25">
      <c r="A58" s="15"/>
      <c r="B58" s="1"/>
      <c r="D58" s="1"/>
      <c r="E58" s="58"/>
      <c r="F58" s="100"/>
      <c r="G58" s="307"/>
      <c r="H58" s="281">
        <f>H56/SUM($H56:$I56)</f>
        <v>0.5714285714285714</v>
      </c>
      <c r="I58" s="283">
        <f>I56/SUM($H56:$I56)</f>
        <v>0.42857142857142855</v>
      </c>
      <c r="J58" s="314"/>
      <c r="K58" s="317"/>
      <c r="L58" s="320"/>
      <c r="M58" s="223"/>
      <c r="N58" s="70"/>
      <c r="O58" s="71"/>
      <c r="P58" s="278"/>
      <c r="Q58" s="279"/>
      <c r="R58" s="279"/>
      <c r="S58" s="279"/>
      <c r="T58" s="279"/>
      <c r="U58" s="72"/>
      <c r="V58" s="73"/>
      <c r="W58" s="74" t="str">
        <f>W$4</f>
        <v>LG</v>
      </c>
      <c r="X58" s="75">
        <f>L56</f>
        <v>0.25</v>
      </c>
      <c r="Y58" s="104"/>
      <c r="Z58" s="66"/>
      <c r="AA58" s="66"/>
      <c r="AB58" s="56"/>
      <c r="AC58" s="1"/>
      <c r="AD58" s="1"/>
      <c r="AE58" s="67"/>
      <c r="AF58" s="68"/>
      <c r="AG58" s="68"/>
      <c r="AH58" s="68"/>
      <c r="AI58" s="69"/>
      <c r="AJ58" s="69"/>
      <c r="AK58" s="69"/>
      <c r="AL58" s="69"/>
      <c r="AM58" s="69"/>
      <c r="AN58" s="69"/>
    </row>
    <row r="59" spans="1:40" ht="18" hidden="1" customHeight="1" x14ac:dyDescent="0.25">
      <c r="A59" s="15"/>
      <c r="B59" s="87">
        <f>B$89*I58</f>
        <v>0.3214285714285714</v>
      </c>
      <c r="C59" s="87">
        <f>L56-B59</f>
        <v>-7.1428571428571397E-2</v>
      </c>
      <c r="D59" s="15">
        <f>IF(I56&lt;D39,G$8,IF(I58&lt;=I$8,G$8,IF(I58&lt;=I$9,G$9,IF(I58&lt;=I$10,G$10,IF(I58&lt;=I$11,G$11,IF(I58&lt;=I$12,G$12,0))))))</f>
        <v>4</v>
      </c>
      <c r="E59" s="13"/>
      <c r="F59" s="105"/>
      <c r="G59" s="322"/>
      <c r="H59" s="304"/>
      <c r="I59" s="305"/>
      <c r="J59" s="323"/>
      <c r="K59" s="324"/>
      <c r="L59" s="325"/>
      <c r="M59" s="302"/>
      <c r="N59" s="106"/>
      <c r="O59" s="107"/>
      <c r="P59" s="303"/>
      <c r="Q59" s="303"/>
      <c r="R59" s="303"/>
      <c r="S59" s="303"/>
      <c r="T59" s="303"/>
      <c r="U59" s="108"/>
      <c r="V59" s="109"/>
      <c r="W59" s="110" t="str">
        <f>W$5</f>
        <v>Total</v>
      </c>
      <c r="X59" s="111">
        <f>SUM(X56:X58)</f>
        <v>1</v>
      </c>
      <c r="Y59" s="112"/>
      <c r="Z59" s="66"/>
      <c r="AA59" s="66"/>
      <c r="AE59" s="67" t="str">
        <f>AE$88</f>
        <v>The Local Government is receiving a Prorated Share of the non-Developer portion (75.00%) of the Surplus Cash.</v>
      </c>
      <c r="AF59" s="68"/>
      <c r="AG59" s="68"/>
      <c r="AH59" s="68"/>
      <c r="AI59" s="69"/>
      <c r="AJ59" s="69"/>
      <c r="AK59" s="69"/>
      <c r="AL59" s="69"/>
      <c r="AM59" s="69"/>
      <c r="AN59" s="69"/>
    </row>
    <row r="60" spans="1:40" ht="18" hidden="1" customHeight="1" x14ac:dyDescent="0.25">
      <c r="A60" s="15">
        <f>A56+1</f>
        <v>7</v>
      </c>
      <c r="B60" s="1"/>
      <c r="D60" s="1"/>
      <c r="E60" s="58">
        <f>IF(I60&lt;D$35,L60-0,IF(I62&gt;C$88,L60-D$89,IF(OR(L60=0,J60&lt;=C$35),L60-D$88,(H60/I60)-(J60/L60))))</f>
        <v>0</v>
      </c>
      <c r="F60" s="100"/>
      <c r="G60" s="307"/>
      <c r="H60" s="309">
        <v>2000000</v>
      </c>
      <c r="I60" s="311">
        <v>2000000</v>
      </c>
      <c r="J60" s="314">
        <f>1-SUM(K60:L63)</f>
        <v>0.5</v>
      </c>
      <c r="K60" s="317">
        <f>SUMIF($G$8:$G$13,$D63,$J$8:$J$13)</f>
        <v>0.25</v>
      </c>
      <c r="L60" s="319">
        <f>IF(I60&lt;D$35,0,IF(I62&gt;C$88,D$89,IF(1-(I62*(1-K60)+K60)&lt;C$35,((1-C$35)-K60),I62*(1-K60))))</f>
        <v>0.25</v>
      </c>
      <c r="M60" s="223">
        <f>SUM(J60:L60)</f>
        <v>1</v>
      </c>
      <c r="N60" s="70"/>
      <c r="O60" s="71"/>
      <c r="P60" s="276" t="str">
        <f>CONCATENATE(IF(J60&gt;P$7,P$8,""),"",IF(AND(L60=0,I60&gt;0,NOT(K60=B$35)),P$9,""),CONCATENATE(IF(AE60=""," ",""),IF(AND(NOT(AB61=0),L60=AB61),AE63,AE60)),"",CONCATENATE(IF(L60=AC61," ",""),IF(OR(AND(I60&gt;0,K60=B$35,NOT(L60=AB61)),AND(NOT(L60=AB61),L60&gt;0)),P$10,"")))</f>
        <v>The Local Government Share of the Surplus Cash is being capped at 25.00% (or 33.33% of the 75.00% non-Developer portion). The Local Government can not negotiate a higher share of the Surplus Cash with DHCD and/or Developer.</v>
      </c>
      <c r="Q60" s="277"/>
      <c r="R60" s="277"/>
      <c r="S60" s="277"/>
      <c r="T60" s="277"/>
      <c r="U60" s="113"/>
      <c r="V60" s="101"/>
      <c r="W60" s="102" t="str">
        <f>W$2</f>
        <v>DHCD</v>
      </c>
      <c r="X60" s="103">
        <f>MIN(J60,$X$2)</f>
        <v>0.5</v>
      </c>
      <c r="Y60" s="104"/>
      <c r="Z60" s="66"/>
      <c r="AA60" s="66"/>
      <c r="AB60" s="56"/>
      <c r="AC60" s="1"/>
      <c r="AD60" s="1"/>
      <c r="AE60" s="67" t="str">
        <f>IF(L60=D$88,AE$86,IF(L60=D$89,AE$87,""))</f>
        <v>The Local Government Share of the Surplus Cash is being capped at 25.00% (or 33.33% of the 75.00% non-Developer portion).</v>
      </c>
      <c r="AF60" s="68"/>
      <c r="AG60" s="68"/>
      <c r="AH60" s="68"/>
      <c r="AI60" s="69"/>
      <c r="AJ60" s="69"/>
      <c r="AK60" s="69"/>
      <c r="AL60" s="69"/>
      <c r="AM60" s="69"/>
      <c r="AN60" s="69"/>
    </row>
    <row r="61" spans="1:40" ht="18" hidden="1" customHeight="1" x14ac:dyDescent="0.25">
      <c r="A61" s="15"/>
      <c r="B61" s="1"/>
      <c r="D61" s="1"/>
      <c r="E61" s="58"/>
      <c r="F61" s="100"/>
      <c r="G61" s="307"/>
      <c r="H61" s="310"/>
      <c r="I61" s="312"/>
      <c r="J61" s="314"/>
      <c r="K61" s="317"/>
      <c r="L61" s="320"/>
      <c r="M61" s="223"/>
      <c r="N61" s="70"/>
      <c r="O61" s="71"/>
      <c r="P61" s="278"/>
      <c r="Q61" s="279"/>
      <c r="R61" s="279"/>
      <c r="S61" s="279"/>
      <c r="T61" s="279"/>
      <c r="U61" s="72"/>
      <c r="V61" s="81"/>
      <c r="W61" s="82" t="str">
        <f>W$3</f>
        <v>Dev</v>
      </c>
      <c r="X61" s="83">
        <f>1-(X60+X62)</f>
        <v>0.25</v>
      </c>
      <c r="Y61" s="104"/>
      <c r="Z61" s="66"/>
      <c r="AA61" s="66"/>
      <c r="AB61" s="114">
        <f>I62*B$89</f>
        <v>0.375</v>
      </c>
      <c r="AC61" s="114">
        <f>L60</f>
        <v>0.25</v>
      </c>
      <c r="AD61" s="114">
        <f>AC61-AB61</f>
        <v>-0.125</v>
      </c>
      <c r="AE61" s="67"/>
      <c r="AF61" s="68"/>
      <c r="AG61" s="68"/>
      <c r="AH61" s="68"/>
      <c r="AI61" s="69"/>
      <c r="AJ61" s="69"/>
      <c r="AK61" s="69"/>
      <c r="AL61" s="69"/>
      <c r="AM61" s="69"/>
      <c r="AN61" s="69"/>
    </row>
    <row r="62" spans="1:40" ht="18" hidden="1" customHeight="1" x14ac:dyDescent="0.25">
      <c r="A62" s="15"/>
      <c r="B62" s="1"/>
      <c r="D62" s="1"/>
      <c r="E62" s="58"/>
      <c r="F62" s="100"/>
      <c r="G62" s="307"/>
      <c r="H62" s="281">
        <f>H60/SUM($H60:$I60)</f>
        <v>0.5</v>
      </c>
      <c r="I62" s="283">
        <f>I60/SUM($H60:$I60)</f>
        <v>0.5</v>
      </c>
      <c r="J62" s="314"/>
      <c r="K62" s="317"/>
      <c r="L62" s="320"/>
      <c r="M62" s="223"/>
      <c r="N62" s="70"/>
      <c r="O62" s="71"/>
      <c r="P62" s="278"/>
      <c r="Q62" s="279"/>
      <c r="R62" s="279"/>
      <c r="S62" s="279"/>
      <c r="T62" s="279"/>
      <c r="U62" s="72"/>
      <c r="V62" s="73"/>
      <c r="W62" s="74" t="str">
        <f>W$4</f>
        <v>LG</v>
      </c>
      <c r="X62" s="75">
        <f>L60</f>
        <v>0.25</v>
      </c>
      <c r="Y62" s="104"/>
      <c r="Z62" s="66"/>
      <c r="AA62" s="66"/>
      <c r="AB62" s="56"/>
      <c r="AC62" s="1"/>
      <c r="AD62" s="1"/>
      <c r="AE62" s="67"/>
      <c r="AF62" s="68"/>
      <c r="AG62" s="68"/>
      <c r="AH62" s="68"/>
      <c r="AI62" s="69"/>
      <c r="AJ62" s="69"/>
      <c r="AK62" s="69"/>
      <c r="AL62" s="69"/>
      <c r="AM62" s="69"/>
      <c r="AN62" s="69"/>
    </row>
    <row r="63" spans="1:40" ht="18" hidden="1" customHeight="1" x14ac:dyDescent="0.25">
      <c r="A63" s="15"/>
      <c r="B63" s="87">
        <f>B$89*I62</f>
        <v>0.375</v>
      </c>
      <c r="C63" s="87">
        <f>L60-B63</f>
        <v>-0.125</v>
      </c>
      <c r="D63" s="15">
        <f>IF(I60&lt;D35,G$8,IF(I62&lt;=I$8,G$8,IF(I62&lt;=I$9,G$9,IF(I62&lt;=I$10,G$10,IF(I62&lt;=I$11,G$11,IF(I62&lt;=I$12,G$12,0))))))</f>
        <v>4</v>
      </c>
      <c r="E63" s="13"/>
      <c r="F63" s="105"/>
      <c r="G63" s="322"/>
      <c r="H63" s="304"/>
      <c r="I63" s="305"/>
      <c r="J63" s="323"/>
      <c r="K63" s="324"/>
      <c r="L63" s="325"/>
      <c r="M63" s="302"/>
      <c r="N63" s="106"/>
      <c r="O63" s="107"/>
      <c r="P63" s="303"/>
      <c r="Q63" s="303"/>
      <c r="R63" s="303"/>
      <c r="S63" s="303"/>
      <c r="T63" s="303"/>
      <c r="U63" s="108"/>
      <c r="V63" s="109"/>
      <c r="W63" s="110" t="str">
        <f>W$5</f>
        <v>Total</v>
      </c>
      <c r="X63" s="111">
        <f>SUM(X60:X62)</f>
        <v>1</v>
      </c>
      <c r="Y63" s="112"/>
      <c r="Z63" s="66"/>
      <c r="AA63" s="66"/>
      <c r="AE63" s="67" t="str">
        <f>AE$88</f>
        <v>The Local Government is receiving a Prorated Share of the non-Developer portion (75.00%) of the Surplus Cash.</v>
      </c>
      <c r="AF63" s="68"/>
      <c r="AG63" s="68"/>
      <c r="AH63" s="68"/>
      <c r="AI63" s="69"/>
      <c r="AJ63" s="69"/>
      <c r="AK63" s="69"/>
      <c r="AL63" s="69"/>
      <c r="AM63" s="69"/>
      <c r="AN63" s="69"/>
    </row>
    <row r="64" spans="1:40" ht="18" hidden="1" customHeight="1" x14ac:dyDescent="0.25">
      <c r="A64" s="15">
        <f>A60+1</f>
        <v>8</v>
      </c>
      <c r="B64" s="1"/>
      <c r="D64" s="1"/>
      <c r="E64" s="58">
        <f>IF(I64&lt;D$35,L64-0,IF(I66&gt;C$88,L64-D$89,IF(OR(L64=0,J64&lt;=C$35),L64-D$88,(H64/I64)-(J64/L64))))</f>
        <v>0</v>
      </c>
      <c r="F64" s="115"/>
      <c r="G64" s="306"/>
      <c r="H64" s="309">
        <v>2000000</v>
      </c>
      <c r="I64" s="311">
        <v>3050000</v>
      </c>
      <c r="J64" s="313">
        <f>1-SUM(K64:L67)</f>
        <v>0.375</v>
      </c>
      <c r="K64" s="316">
        <f>SUMIF($G$8:$G$13,$D67,$J$8:$J$13)</f>
        <v>0.25</v>
      </c>
      <c r="L64" s="319">
        <f>IF(I64&lt;D$35,0,IF(I66&gt;C$88,D$89,IF(1-(I66*(1-K64)+K64)&lt;C$35,((1-C$35)-K64),I66*(1-K64))))</f>
        <v>0.375</v>
      </c>
      <c r="M64" s="211">
        <f>SUM(J64:L64)</f>
        <v>1</v>
      </c>
      <c r="N64" s="116"/>
      <c r="O64" s="117"/>
      <c r="P64" s="276" t="str">
        <f>CONCATENATE(IF(J64&gt;P$7,P$8,""),"",IF(AND(L64=0,I64&gt;0,NOT(K64=B$35)),P$9,""),CONCATENATE(IF(AE64=""," ",""),IF(AND(NOT(AB65=0),L64=AB65),AE67,AE64)),"",CONCATENATE(IF(L64=AC65," ",""),IF(OR(AND(I64&gt;0,K64=B$35,NOT(L64=AB65)),AND(NOT(L64=AB65),L64&gt;0)),P$10,"")))</f>
        <v>The Local Government Share of the Surplus Cash is being capped at  37.50% (or 50.00% of the 75.00% non-Developer portion). The Local Government can not negotiate a higher share of the Surplus Cash with DHCD and/or Developer.</v>
      </c>
      <c r="Q64" s="277"/>
      <c r="R64" s="277"/>
      <c r="S64" s="277"/>
      <c r="T64" s="277"/>
      <c r="U64" s="113"/>
      <c r="V64" s="101"/>
      <c r="W64" s="102" t="str">
        <f>W$2</f>
        <v>DHCD</v>
      </c>
      <c r="X64" s="103">
        <f>MIN(J64,$X$2)</f>
        <v>0.375</v>
      </c>
      <c r="Y64" s="104"/>
      <c r="Z64" s="66"/>
      <c r="AA64" s="66"/>
      <c r="AB64" s="56"/>
      <c r="AC64" s="1"/>
      <c r="AD64" s="1"/>
      <c r="AE64" s="67" t="str">
        <f>IF(L64=D$88,AE$86,IF(L64=D$89,AE$87,""))</f>
        <v>The Local Government Share of the Surplus Cash is being capped at  37.50% (or 50.00% of the 75.00% non-Developer portion).</v>
      </c>
      <c r="AF64" s="68"/>
      <c r="AG64" s="68"/>
      <c r="AH64" s="68"/>
      <c r="AI64" s="69"/>
      <c r="AJ64" s="69"/>
      <c r="AK64" s="69"/>
      <c r="AL64" s="69"/>
      <c r="AM64" s="69"/>
      <c r="AN64" s="69"/>
    </row>
    <row r="65" spans="1:40" ht="18" hidden="1" customHeight="1" x14ac:dyDescent="0.25">
      <c r="A65" s="15"/>
      <c r="B65" s="1"/>
      <c r="D65" s="1"/>
      <c r="E65" s="58"/>
      <c r="F65" s="100"/>
      <c r="G65" s="307"/>
      <c r="H65" s="310"/>
      <c r="I65" s="312"/>
      <c r="J65" s="314"/>
      <c r="K65" s="317"/>
      <c r="L65" s="320"/>
      <c r="M65" s="223"/>
      <c r="N65" s="70"/>
      <c r="O65" s="71"/>
      <c r="P65" s="278"/>
      <c r="Q65" s="279"/>
      <c r="R65" s="279"/>
      <c r="S65" s="279"/>
      <c r="T65" s="279"/>
      <c r="U65" s="72"/>
      <c r="V65" s="81"/>
      <c r="W65" s="82" t="str">
        <f>W$3</f>
        <v>Dev</v>
      </c>
      <c r="X65" s="83">
        <f>1-(X64+X66)</f>
        <v>0.25</v>
      </c>
      <c r="Y65" s="104"/>
      <c r="Z65" s="66"/>
      <c r="AA65" s="66"/>
      <c r="AB65" s="114">
        <f>I66*B$89</f>
        <v>0.45297029702970293</v>
      </c>
      <c r="AC65" s="114">
        <f>L64</f>
        <v>0.375</v>
      </c>
      <c r="AD65" s="114">
        <f>AC65-AB65</f>
        <v>-7.7970297029702929E-2</v>
      </c>
      <c r="AE65" s="67"/>
      <c r="AF65" s="68"/>
      <c r="AG65" s="68"/>
      <c r="AH65" s="68"/>
      <c r="AI65" s="69"/>
      <c r="AJ65" s="69"/>
      <c r="AK65" s="69"/>
      <c r="AL65" s="69"/>
      <c r="AM65" s="69"/>
      <c r="AN65" s="69"/>
    </row>
    <row r="66" spans="1:40" ht="18" hidden="1" customHeight="1" x14ac:dyDescent="0.25">
      <c r="A66" s="15"/>
      <c r="B66" s="1"/>
      <c r="D66" s="1"/>
      <c r="E66" s="58"/>
      <c r="F66" s="100"/>
      <c r="G66" s="307"/>
      <c r="H66" s="281">
        <f>H64/SUM($H64:$I64)</f>
        <v>0.39603960396039606</v>
      </c>
      <c r="I66" s="283">
        <f>I64/SUM($H64:$I64)</f>
        <v>0.60396039603960394</v>
      </c>
      <c r="J66" s="314"/>
      <c r="K66" s="317"/>
      <c r="L66" s="320"/>
      <c r="M66" s="223"/>
      <c r="N66" s="70"/>
      <c r="O66" s="71"/>
      <c r="P66" s="278"/>
      <c r="Q66" s="279"/>
      <c r="R66" s="279"/>
      <c r="S66" s="279"/>
      <c r="T66" s="279"/>
      <c r="U66" s="72"/>
      <c r="V66" s="73"/>
      <c r="W66" s="74" t="str">
        <f>W$4</f>
        <v>LG</v>
      </c>
      <c r="X66" s="75">
        <f>L64</f>
        <v>0.375</v>
      </c>
      <c r="Y66" s="104"/>
      <c r="Z66" s="66"/>
      <c r="AA66" s="66"/>
      <c r="AB66" s="56"/>
      <c r="AC66" s="1"/>
      <c r="AD66" s="1"/>
      <c r="AE66" s="67"/>
      <c r="AF66" s="68"/>
      <c r="AG66" s="68"/>
      <c r="AH66" s="68"/>
      <c r="AI66" s="69"/>
      <c r="AJ66" s="69"/>
      <c r="AK66" s="69"/>
      <c r="AL66" s="69"/>
      <c r="AM66" s="69"/>
      <c r="AN66" s="69"/>
    </row>
    <row r="67" spans="1:40" ht="18" hidden="1" customHeight="1" thickBot="1" x14ac:dyDescent="0.3">
      <c r="A67" s="1"/>
      <c r="B67" s="87">
        <f>B$89*I66</f>
        <v>0.45297029702970293</v>
      </c>
      <c r="C67" s="87">
        <f>L64-B67</f>
        <v>-7.7970297029702929E-2</v>
      </c>
      <c r="D67" s="15">
        <f>IF(I64&lt;D35,G$8,IF(I66&lt;=I$8,G$8,IF(I66&lt;=I$9,G$9,IF(I66&lt;=I$10,G$10,IF(I66&lt;=I$11,G$11,IF(I66&lt;=I$12,G$12,0))))))</f>
        <v>5</v>
      </c>
      <c r="E67" s="13"/>
      <c r="F67" s="88"/>
      <c r="G67" s="308"/>
      <c r="H67" s="282"/>
      <c r="I67" s="284"/>
      <c r="J67" s="315"/>
      <c r="K67" s="318"/>
      <c r="L67" s="321"/>
      <c r="M67" s="275"/>
      <c r="N67" s="92"/>
      <c r="O67" s="89"/>
      <c r="P67" s="280"/>
      <c r="Q67" s="280"/>
      <c r="R67" s="280"/>
      <c r="S67" s="280"/>
      <c r="T67" s="280"/>
      <c r="U67" s="93"/>
      <c r="V67" s="94"/>
      <c r="W67" s="95" t="str">
        <f>W$5</f>
        <v>Total</v>
      </c>
      <c r="X67" s="96">
        <f>SUM(X64:X66)</f>
        <v>1</v>
      </c>
      <c r="Y67" s="97"/>
      <c r="Z67" s="66"/>
      <c r="AA67" s="66"/>
      <c r="AE67" s="67" t="str">
        <f>AE$88</f>
        <v>The Local Government is receiving a Prorated Share of the non-Developer portion (75.00%) of the Surplus Cash.</v>
      </c>
      <c r="AF67" s="68"/>
      <c r="AG67" s="68"/>
      <c r="AH67" s="68"/>
      <c r="AI67" s="69"/>
      <c r="AJ67" s="69"/>
      <c r="AK67" s="69"/>
      <c r="AL67" s="69"/>
      <c r="AM67" s="69"/>
      <c r="AN67" s="69"/>
    </row>
    <row r="68" spans="1:40" ht="3.95" customHeight="1" x14ac:dyDescent="0.25">
      <c r="A68" s="1"/>
      <c r="B68" s="1"/>
      <c r="D68" s="1"/>
      <c r="E68" s="118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40" x14ac:dyDescent="0.25">
      <c r="A69" s="1"/>
      <c r="B69" s="1"/>
      <c r="C69" s="1"/>
      <c r="D69" s="1"/>
      <c r="E69" s="118"/>
      <c r="F69" s="1"/>
      <c r="G69" s="119" t="s">
        <v>42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40" ht="9.9499999999999993" customHeight="1" x14ac:dyDescent="0.25">
      <c r="A70" s="1"/>
      <c r="B70" s="1"/>
      <c r="C70" s="1"/>
      <c r="D70" s="1"/>
      <c r="E70" s="118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40" ht="29.25" thickBot="1" x14ac:dyDescent="0.3">
      <c r="A71" s="1"/>
      <c r="B71" s="1"/>
      <c r="C71" s="1"/>
      <c r="D71" s="1"/>
      <c r="E71" s="118"/>
      <c r="F71" s="1"/>
      <c r="G71" s="37"/>
      <c r="H71" s="120" t="s">
        <v>43</v>
      </c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29"/>
      <c r="Z71" s="1"/>
      <c r="AA71" s="1"/>
      <c r="AB71" s="1"/>
      <c r="AC71" s="1"/>
      <c r="AD71" s="1"/>
      <c r="AE71" s="1"/>
      <c r="AF71" s="1"/>
      <c r="AG71" s="1"/>
      <c r="AH71" s="1"/>
    </row>
    <row r="72" spans="1:40" ht="15.75" x14ac:dyDescent="0.25">
      <c r="A72" s="1"/>
      <c r="B72" s="1"/>
      <c r="C72" s="1"/>
      <c r="D72" s="1"/>
      <c r="E72" s="118"/>
      <c r="F72" s="1"/>
      <c r="G72" s="121"/>
      <c r="H72" s="122"/>
      <c r="I72" s="123"/>
      <c r="J72" s="124" t="s">
        <v>28</v>
      </c>
      <c r="K72" s="125"/>
      <c r="L72" s="124" t="s">
        <v>29</v>
      </c>
      <c r="M72" s="125"/>
      <c r="N72" s="126"/>
      <c r="O72" s="127" t="s">
        <v>44</v>
      </c>
      <c r="P72" s="128"/>
      <c r="Q72" s="129"/>
      <c r="R72" s="130" t="s">
        <v>34</v>
      </c>
      <c r="S72" s="127"/>
      <c r="T72" s="127"/>
      <c r="U72" s="127"/>
      <c r="V72" s="127"/>
      <c r="W72" s="127"/>
      <c r="X72" s="127"/>
      <c r="Y72" s="131"/>
      <c r="Z72" s="1"/>
      <c r="AA72" s="1"/>
      <c r="AB72" s="1"/>
      <c r="AC72" s="1"/>
      <c r="AD72" s="1"/>
      <c r="AE72" s="1"/>
      <c r="AF72" s="1"/>
      <c r="AG72" s="1"/>
      <c r="AH72" s="1"/>
    </row>
    <row r="73" spans="1:40" ht="28.5" x14ac:dyDescent="0.25">
      <c r="A73" s="1"/>
      <c r="B73" s="1"/>
      <c r="C73" s="1"/>
      <c r="D73" s="1"/>
      <c r="E73" s="132">
        <f>IF(SUM(N73)&lt;SUM(J73)+SUM(L73),1,0)</f>
        <v>0</v>
      </c>
      <c r="F73" s="1"/>
      <c r="G73" s="133"/>
      <c r="H73" s="134" t="s">
        <v>45</v>
      </c>
      <c r="I73" s="135"/>
      <c r="J73" s="285">
        <f>H36</f>
        <v>2000000</v>
      </c>
      <c r="K73" s="286"/>
      <c r="L73" s="285">
        <f>I36</f>
        <v>2000000</v>
      </c>
      <c r="M73" s="286"/>
      <c r="N73" s="287">
        <v>10000000</v>
      </c>
      <c r="O73" s="288"/>
      <c r="P73" s="289"/>
      <c r="Q73" s="290"/>
      <c r="R73" s="136"/>
      <c r="S73" s="294" t="str">
        <f>IF(OR(SUM(N73)=0,SUM(J73:M73)=0),"",CONCATENATE(IF(J73/N73&lt;C74,CONCATENATE("DHCD's Share is always a minimum of ",TEXT(C74,"0%")," even if the RHP Soft Debt is less than ",TEXT(C74,"0%")," of Total Project Costs.  "),""),IF(NOT(H36=J73),"Please verify the RHP Soft Debt amount; it is different than State Soft Debt amount above.  ",""),IF(AND(NOT(J73/N73&lt;C74),NOT(L73=I36)),"Verify the Local Gov Soft Debt amount; it should NOT be different than Local Gov Debt amount above.","")))</f>
        <v/>
      </c>
      <c r="T73" s="295"/>
      <c r="U73" s="295"/>
      <c r="V73" s="295"/>
      <c r="W73" s="295"/>
      <c r="X73" s="295"/>
      <c r="Y73" s="296"/>
      <c r="Z73" s="137"/>
      <c r="AA73" s="1"/>
      <c r="AB73" s="1"/>
      <c r="AC73" s="1"/>
      <c r="AD73" s="1"/>
      <c r="AE73" s="1"/>
      <c r="AF73" s="1"/>
      <c r="AG73" s="1"/>
      <c r="AH73" s="1"/>
    </row>
    <row r="74" spans="1:40" ht="29.25" thickBot="1" x14ac:dyDescent="0.3">
      <c r="A74" s="1"/>
      <c r="B74" s="1"/>
      <c r="C74" s="41">
        <f>P5</f>
        <v>0.2</v>
      </c>
      <c r="D74" s="1"/>
      <c r="E74" s="118"/>
      <c r="F74" s="1"/>
      <c r="G74" s="138"/>
      <c r="H74" s="139" t="s">
        <v>46</v>
      </c>
      <c r="I74" s="140"/>
      <c r="J74" s="299">
        <f>IF(SUM(N73)=0,"",MAX(J73/N73,C74))</f>
        <v>0.2</v>
      </c>
      <c r="K74" s="300"/>
      <c r="L74" s="299">
        <f>IF(SUM(N73)=0,"",L73/N73)</f>
        <v>0.2</v>
      </c>
      <c r="M74" s="301"/>
      <c r="N74" s="291"/>
      <c r="O74" s="292"/>
      <c r="P74" s="292"/>
      <c r="Q74" s="293"/>
      <c r="R74" s="141"/>
      <c r="S74" s="297"/>
      <c r="T74" s="297"/>
      <c r="U74" s="297"/>
      <c r="V74" s="297"/>
      <c r="W74" s="297"/>
      <c r="X74" s="297"/>
      <c r="Y74" s="298"/>
      <c r="Z74" s="137"/>
      <c r="AA74" s="1"/>
      <c r="AB74" s="1"/>
      <c r="AC74" s="1"/>
      <c r="AD74" s="1"/>
      <c r="AE74" s="1"/>
      <c r="AF74" s="1"/>
      <c r="AG74" s="1"/>
      <c r="AH74" s="1"/>
    </row>
    <row r="75" spans="1:40" ht="3.95" customHeight="1" x14ac:dyDescent="0.25">
      <c r="A75" s="1"/>
      <c r="B75" s="1"/>
      <c r="D75" s="1"/>
      <c r="E75" s="118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40" x14ac:dyDescent="0.25">
      <c r="A76" s="1"/>
      <c r="B76" s="1"/>
      <c r="C76" s="1"/>
      <c r="D76" s="1"/>
      <c r="E76" s="118"/>
      <c r="F76" s="142"/>
      <c r="G76" s="119" t="s">
        <v>47</v>
      </c>
      <c r="H76" s="14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40" ht="9.9499999999999993" customHeight="1" x14ac:dyDescent="0.25">
      <c r="A77" s="1"/>
      <c r="B77" s="1"/>
      <c r="C77" s="1"/>
      <c r="D77" s="1"/>
      <c r="E77" s="118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40" ht="31.5" hidden="1" x14ac:dyDescent="0.25">
      <c r="A78" s="1"/>
      <c r="B78" s="1"/>
      <c r="C78" s="1"/>
      <c r="D78" s="1"/>
      <c r="E78" s="118"/>
      <c r="F78" s="1"/>
      <c r="G78" s="37"/>
      <c r="H78" s="143" t="s">
        <v>48</v>
      </c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29"/>
      <c r="Z78" s="1"/>
      <c r="AA78" s="1"/>
      <c r="AB78" s="1"/>
      <c r="AC78" s="1"/>
      <c r="AD78" s="1"/>
      <c r="AE78" s="1"/>
      <c r="AF78" s="1"/>
      <c r="AG78" s="1"/>
      <c r="AH78" s="1"/>
    </row>
    <row r="79" spans="1:40" ht="15.75" hidden="1" x14ac:dyDescent="0.25">
      <c r="A79" s="1"/>
      <c r="B79" s="1"/>
      <c r="C79" s="1"/>
      <c r="D79" s="1"/>
      <c r="E79" s="132">
        <f>IF(SUM(P79)&gt;SUM(N73),1,0)</f>
        <v>0</v>
      </c>
      <c r="F79" s="1"/>
      <c r="G79" s="144"/>
      <c r="H79" s="266" t="s">
        <v>49</v>
      </c>
      <c r="I79" s="267"/>
      <c r="J79" s="267"/>
      <c r="K79" s="267"/>
      <c r="L79" s="267"/>
      <c r="M79" s="267"/>
      <c r="N79" s="60"/>
      <c r="O79" s="59"/>
      <c r="P79" s="269">
        <v>1000000</v>
      </c>
      <c r="Q79" s="270"/>
      <c r="R79" s="270"/>
      <c r="S79" s="270"/>
      <c r="T79" s="270"/>
      <c r="U79" s="270"/>
      <c r="V79" s="270"/>
      <c r="W79" s="270"/>
      <c r="X79" s="270"/>
      <c r="Y79" s="271"/>
      <c r="Z79" s="34"/>
      <c r="AA79" s="1"/>
      <c r="AB79" s="1"/>
      <c r="AC79" s="1"/>
      <c r="AD79" s="1"/>
      <c r="AE79" s="1"/>
      <c r="AF79" s="1"/>
      <c r="AG79" s="1"/>
      <c r="AH79" s="1"/>
    </row>
    <row r="80" spans="1:40" ht="16.5" hidden="1" thickBot="1" x14ac:dyDescent="0.3">
      <c r="A80" s="1"/>
      <c r="B80" s="1"/>
      <c r="C80" s="1"/>
      <c r="D80" s="1"/>
      <c r="E80" s="118"/>
      <c r="F80" s="1"/>
      <c r="G80" s="88"/>
      <c r="H80" s="268"/>
      <c r="I80" s="268"/>
      <c r="J80" s="268"/>
      <c r="K80" s="268"/>
      <c r="L80" s="268"/>
      <c r="M80" s="268"/>
      <c r="N80" s="89"/>
      <c r="O80" s="92"/>
      <c r="P80" s="272"/>
      <c r="Q80" s="273"/>
      <c r="R80" s="273"/>
      <c r="S80" s="273"/>
      <c r="T80" s="273"/>
      <c r="U80" s="273"/>
      <c r="V80" s="273"/>
      <c r="W80" s="273"/>
      <c r="X80" s="273"/>
      <c r="Y80" s="274"/>
      <c r="Z80" s="34"/>
      <c r="AA80" s="1"/>
      <c r="AB80" s="1"/>
      <c r="AC80" s="1"/>
      <c r="AD80" s="1"/>
      <c r="AE80" s="1"/>
      <c r="AF80" s="1"/>
      <c r="AG80" s="1"/>
      <c r="AH80" s="1"/>
    </row>
    <row r="81" spans="1:34" hidden="1" x14ac:dyDescent="0.25">
      <c r="A81" s="1"/>
      <c r="B81" s="1"/>
      <c r="C81" s="1"/>
      <c r="D81" s="1"/>
      <c r="E81" s="118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23.25" x14ac:dyDescent="0.25">
      <c r="A82" s="1"/>
      <c r="B82" s="1"/>
      <c r="C82" s="1"/>
      <c r="D82" s="1"/>
      <c r="E82" s="118"/>
      <c r="F82" s="1"/>
      <c r="G82" s="145" t="s">
        <v>50</v>
      </c>
      <c r="H82" s="146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5.75" x14ac:dyDescent="0.25">
      <c r="A83" s="15">
        <v>1</v>
      </c>
      <c r="B83" s="1"/>
      <c r="C83" s="1"/>
      <c r="D83" s="1"/>
      <c r="E83" s="118"/>
      <c r="F83" s="1"/>
      <c r="G83" s="264" t="str">
        <f>CONCATENATE(A83,") DHCD will generally receive at least a ",TEXT(C35,"0%")," Base Percentage of Surplus Cash (never to exceed ",TEXT(B89,"0%"),")")</f>
        <v>1) DHCD will generally receive at least a 50% Base Percentage of Surplus Cash (never to exceed 75%)</v>
      </c>
      <c r="H83" s="265"/>
      <c r="I83" s="265"/>
      <c r="J83" s="265"/>
      <c r="K83" s="265"/>
      <c r="L83" s="265"/>
      <c r="M83" s="265"/>
      <c r="N83" s="265"/>
      <c r="O83" s="265"/>
      <c r="P83" s="265"/>
      <c r="Q83" s="265"/>
      <c r="R83" s="265"/>
      <c r="S83" s="265"/>
      <c r="T83" s="265"/>
      <c r="U83" s="265"/>
      <c r="V83" s="265"/>
      <c r="W83" s="265"/>
      <c r="X83" s="265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5.75" x14ac:dyDescent="0.25">
      <c r="A84" s="15">
        <f>A83+1</f>
        <v>2</v>
      </c>
      <c r="B84" s="1"/>
      <c r="C84" s="1"/>
      <c r="D84" s="1"/>
      <c r="E84" s="118"/>
      <c r="F84" s="1"/>
      <c r="G84" s="264" t="str">
        <f>CONCATENATE(A84,") DHCD will receive no more than ",TEXT(P$7,"0%")," of Surplus Cash until Developer Deferred Fees are Paid with ",G85)</f>
        <v>2) DHCD will receive no more than 50% of Surplus Cash until Developer Deferred Fees are Paid with Developer Share of Surplus Cash at least 25%</v>
      </c>
      <c r="H84" s="265"/>
      <c r="I84" s="265"/>
      <c r="J84" s="265"/>
      <c r="K84" s="265"/>
      <c r="L84" s="265"/>
      <c r="M84" s="265"/>
      <c r="N84" s="265"/>
      <c r="O84" s="265"/>
      <c r="P84" s="265"/>
      <c r="Q84" s="265"/>
      <c r="R84" s="265"/>
      <c r="S84" s="265"/>
      <c r="T84" s="265"/>
      <c r="U84" s="265"/>
      <c r="V84" s="265"/>
      <c r="W84" s="265"/>
      <c r="X84" s="265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5.75" hidden="1" x14ac:dyDescent="0.25">
      <c r="A85" s="15"/>
      <c r="B85" s="1"/>
      <c r="C85" s="1"/>
      <c r="D85" s="1"/>
      <c r="E85" s="118"/>
      <c r="F85" s="1"/>
      <c r="G85" s="264" t="str">
        <f>CONCATENATE("Developer Share of Surplus Cash at least ",TEXT(B35,"0%"))</f>
        <v>Developer Share of Surplus Cash at least 25%</v>
      </c>
      <c r="H85" s="265"/>
      <c r="I85" s="265"/>
      <c r="J85" s="265"/>
      <c r="K85" s="265"/>
      <c r="L85" s="265"/>
      <c r="M85" s="265"/>
      <c r="N85" s="265"/>
      <c r="O85" s="265"/>
      <c r="P85" s="265"/>
      <c r="Q85" s="265"/>
      <c r="R85" s="265"/>
      <c r="S85" s="265"/>
      <c r="T85" s="265"/>
      <c r="U85" s="265"/>
      <c r="V85" s="265"/>
      <c r="W85" s="265"/>
      <c r="X85" s="265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5.75" x14ac:dyDescent="0.25">
      <c r="A86" s="15">
        <f>A84+1</f>
        <v>3</v>
      </c>
      <c r="B86" s="1"/>
      <c r="C86" s="1"/>
      <c r="D86" s="1"/>
      <c r="E86" s="118"/>
      <c r="F86" s="1"/>
      <c r="G86" s="264" t="str">
        <f>CONCATENATE(A86,") Prorated DHCD and Local Government Surplus Cash Split, with the following parameters:")</f>
        <v>3) Prorated DHCD and Local Government Surplus Cash Split, with the following parameters:</v>
      </c>
      <c r="H86" s="265"/>
      <c r="I86" s="265"/>
      <c r="J86" s="265"/>
      <c r="K86" s="265"/>
      <c r="L86" s="265"/>
      <c r="M86" s="265"/>
      <c r="N86" s="265"/>
      <c r="O86" s="265"/>
      <c r="P86" s="265"/>
      <c r="Q86" s="265"/>
      <c r="R86" s="265"/>
      <c r="S86" s="265"/>
      <c r="T86" s="265"/>
      <c r="U86" s="265"/>
      <c r="V86" s="265"/>
      <c r="W86" s="265"/>
      <c r="X86" s="265"/>
      <c r="Y86" s="1"/>
      <c r="Z86" s="1"/>
      <c r="AA86" s="1"/>
      <c r="AB86" s="1"/>
      <c r="AC86" s="1"/>
      <c r="AD86" s="1"/>
      <c r="AE86" s="21" t="str">
        <f>CONCATENATE("The Local Government Share of the Surplus Cash is being capped at ",TEXT(D88,"0.00%")," (or ",TEXT(D88/B89,"0.00%")," of the ",TEXT(B89,"0.00%")," non-Developer portion).")</f>
        <v>The Local Government Share of the Surplus Cash is being capped at 25.00% (or 33.33% of the 75.00% non-Developer portion).</v>
      </c>
      <c r="AF86" s="1"/>
      <c r="AG86" s="1"/>
      <c r="AH86" s="1"/>
    </row>
    <row r="87" spans="1:34" x14ac:dyDescent="0.25">
      <c r="A87" s="15"/>
      <c r="B87" s="1"/>
      <c r="C87" s="1"/>
      <c r="D87" s="1"/>
      <c r="E87" s="118"/>
      <c r="F87" s="1"/>
      <c r="G87" s="262" t="str">
        <f>CONCATENATE("a) Soft Debt Contribution from Local Government must be a minimum of ",TEXT(D35,"$#,#0")," and loan terms are the same as the RHP Soft Debt")</f>
        <v>a) Soft Debt Contribution from Local Government must be a minimum of $250,000 and loan terms are the same as the RHP Soft Debt</v>
      </c>
      <c r="H87" s="263"/>
      <c r="I87" s="263"/>
      <c r="J87" s="263"/>
      <c r="K87" s="263"/>
      <c r="L87" s="263"/>
      <c r="M87" s="263"/>
      <c r="N87" s="263"/>
      <c r="O87" s="263"/>
      <c r="P87" s="263"/>
      <c r="Q87" s="263"/>
      <c r="R87" s="263"/>
      <c r="S87" s="263"/>
      <c r="T87" s="263"/>
      <c r="U87" s="263"/>
      <c r="V87" s="263"/>
      <c r="W87" s="263"/>
      <c r="X87" s="263"/>
      <c r="Y87" s="1"/>
      <c r="Z87" s="1"/>
      <c r="AA87" s="1"/>
      <c r="AB87" s="1"/>
      <c r="AC87" s="1"/>
      <c r="AD87" s="1"/>
      <c r="AE87" s="21" t="str">
        <f>CONCATENATE("The Local Government Share of the Surplus Cash is being capped at  ",TEXT(D89,"0.00%")," (or ",TEXT(D89/B89,"0.00%")," of the ",TEXT(B89,"0.00%")," non-Developer portion).")</f>
        <v>The Local Government Share of the Surplus Cash is being capped at  37.50% (or 50.00% of the 75.00% non-Developer portion).</v>
      </c>
      <c r="AF87" s="1"/>
      <c r="AG87" s="1"/>
      <c r="AH87" s="1"/>
    </row>
    <row r="88" spans="1:34" ht="18.75" x14ac:dyDescent="0.25">
      <c r="A88" s="15"/>
      <c r="B88" s="1"/>
      <c r="C88" s="41">
        <f>Q2</f>
        <v>0.6</v>
      </c>
      <c r="D88" s="41">
        <f>Q3</f>
        <v>0.25</v>
      </c>
      <c r="E88" s="118"/>
      <c r="F88" s="1"/>
      <c r="G88" s="262" t="str">
        <f>CONCATENATE("b) The maximum Surplus Cash Split to Local Government is ",TEXT(D88,"0.00%")," unless the Local provides over ",TEXT(C88,"0.00%")," of the total Soft Debt")</f>
        <v>b) The maximum Surplus Cash Split to Local Government is 25.00% unless the Local provides over 60.00% of the total Soft Debt</v>
      </c>
      <c r="H88" s="263"/>
      <c r="I88" s="263"/>
      <c r="J88" s="263"/>
      <c r="K88" s="263"/>
      <c r="L88" s="263"/>
      <c r="M88" s="263"/>
      <c r="N88" s="263"/>
      <c r="O88" s="263"/>
      <c r="P88" s="263"/>
      <c r="Q88" s="263"/>
      <c r="R88" s="263"/>
      <c r="S88" s="263"/>
      <c r="T88" s="263"/>
      <c r="U88" s="263"/>
      <c r="V88" s="263"/>
      <c r="W88" s="263"/>
      <c r="X88" s="263"/>
      <c r="Y88" s="1"/>
      <c r="Z88" s="1"/>
      <c r="AA88" s="1"/>
      <c r="AB88" s="1"/>
      <c r="AC88" s="1"/>
      <c r="AD88" s="1"/>
      <c r="AE88" s="21" t="str">
        <f>CONCATENATE("The Local Government is receiving a Prorated Share of the non-Developer portion (",TEXT(B89,"0.00%"),") of the Surplus Cash.")</f>
        <v>The Local Government is receiving a Prorated Share of the non-Developer portion (75.00%) of the Surplus Cash.</v>
      </c>
      <c r="AF88" s="1"/>
      <c r="AG88" s="1"/>
      <c r="AH88" s="1"/>
    </row>
    <row r="89" spans="1:34" ht="18.75" x14ac:dyDescent="0.25">
      <c r="A89" s="15"/>
      <c r="B89" s="41">
        <f>Q5</f>
        <v>0.75</v>
      </c>
      <c r="C89" s="41">
        <f>Q4</f>
        <v>0.375</v>
      </c>
      <c r="D89" s="40">
        <f>B89-C89</f>
        <v>0.375</v>
      </c>
      <c r="E89" s="118"/>
      <c r="F89" s="1"/>
      <c r="G89" s="262" t="str">
        <f>CONCATENATE("c) An equal split between DHCD and Local (",IF(C89=D89,TEXT(C89,"0.00%"),"")," each) when Local Government's Soft Debt is over ",TEXT(C88,"0.00%")," of the total Soft Debt")</f>
        <v>c) An equal split between DHCD and Local (37.50% each) when Local Government's Soft Debt is over 60.00% of the total Soft Debt</v>
      </c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  <c r="W89" s="263"/>
      <c r="X89" s="263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5.75" x14ac:dyDescent="0.25">
      <c r="A90" s="15">
        <f>+A86+1</f>
        <v>4</v>
      </c>
      <c r="B90" s="1"/>
      <c r="C90" s="1"/>
      <c r="D90" s="1"/>
      <c r="E90" s="118"/>
      <c r="F90" s="1"/>
      <c r="G90" s="264" t="str">
        <f>CONCATENATE(A90,") Soft Loan Interest Rate of 0% (Local Government terms are the same as DHCD's terms)")</f>
        <v>4) Soft Loan Interest Rate of 0% (Local Government terms are the same as DHCD's terms)</v>
      </c>
      <c r="H90" s="265"/>
      <c r="I90" s="265"/>
      <c r="J90" s="265"/>
      <c r="K90" s="265"/>
      <c r="L90" s="265"/>
      <c r="M90" s="265"/>
      <c r="N90" s="265"/>
      <c r="O90" s="265"/>
      <c r="P90" s="265"/>
      <c r="Q90" s="265"/>
      <c r="R90" s="265"/>
      <c r="S90" s="265"/>
      <c r="T90" s="265"/>
      <c r="U90" s="265"/>
      <c r="V90" s="265"/>
      <c r="W90" s="265"/>
      <c r="X90" s="265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5.75" x14ac:dyDescent="0.25">
      <c r="A91" s="15">
        <f>A90+1</f>
        <v>5</v>
      </c>
      <c r="B91" s="1"/>
      <c r="C91" s="1"/>
      <c r="D91" s="1"/>
      <c r="E91" s="118"/>
      <c r="F91" s="1"/>
      <c r="G91" s="264" t="str">
        <f>CONCATENATE(A91,") DHCD and Local Government Share of Surplus Cash is Uncapped by the Annual Debt Service Amount Due")</f>
        <v>5) DHCD and Local Government Share of Surplus Cash is Uncapped by the Annual Debt Service Amount Due</v>
      </c>
      <c r="H91" s="265"/>
      <c r="I91" s="265"/>
      <c r="J91" s="265"/>
      <c r="K91" s="265"/>
      <c r="L91" s="265"/>
      <c r="M91" s="265"/>
      <c r="N91" s="265"/>
      <c r="O91" s="265"/>
      <c r="P91" s="265"/>
      <c r="Q91" s="265"/>
      <c r="R91" s="265"/>
      <c r="S91" s="265"/>
      <c r="T91" s="265"/>
      <c r="U91" s="265"/>
      <c r="V91" s="265"/>
      <c r="W91" s="265"/>
      <c r="X91" s="265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5.75" x14ac:dyDescent="0.25">
      <c r="A92" s="15">
        <f>A91+1</f>
        <v>6</v>
      </c>
      <c r="B92" s="1"/>
      <c r="C92" s="1"/>
      <c r="D92" s="1"/>
      <c r="E92" s="118"/>
      <c r="F92" s="1"/>
      <c r="G92" s="264" t="str">
        <f>CONCATENATE(A92,") DHCD and Local Government Share in Contingent Interest at Capital Event",IF(AA92="YES"," -- see Defined Terms",""))</f>
        <v>6) DHCD and Local Government Share in Contingent Interest at Capital Event</v>
      </c>
      <c r="H92" s="265"/>
      <c r="I92" s="265"/>
      <c r="J92" s="265"/>
      <c r="K92" s="265"/>
      <c r="L92" s="265"/>
      <c r="M92" s="265"/>
      <c r="N92" s="265"/>
      <c r="O92" s="265"/>
      <c r="P92" s="265"/>
      <c r="Q92" s="265"/>
      <c r="R92" s="265"/>
      <c r="S92" s="265"/>
      <c r="T92" s="265"/>
      <c r="U92" s="265"/>
      <c r="V92" s="265"/>
      <c r="W92" s="265"/>
      <c r="X92" s="265"/>
      <c r="Y92" s="1"/>
      <c r="AA92" s="147" t="s">
        <v>51</v>
      </c>
      <c r="AB92" s="119" t="s">
        <v>52</v>
      </c>
      <c r="AC92" s="1"/>
      <c r="AD92" s="1"/>
      <c r="AE92" s="1"/>
      <c r="AF92" s="1"/>
      <c r="AG92" s="1"/>
      <c r="AH92" s="1"/>
    </row>
    <row r="93" spans="1:34" ht="16.5" thickBot="1" x14ac:dyDescent="0.3">
      <c r="A93" s="15"/>
      <c r="B93" s="1"/>
      <c r="C93" s="1"/>
      <c r="D93" s="1"/>
      <c r="E93" s="118"/>
      <c r="F93" s="1"/>
      <c r="G93" s="148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"/>
      <c r="AA93" s="147"/>
      <c r="AB93" s="119"/>
      <c r="AC93" s="1"/>
      <c r="AD93" s="1"/>
      <c r="AE93" s="1"/>
      <c r="AF93" s="1"/>
      <c r="AG93" s="1"/>
      <c r="AH93" s="1"/>
    </row>
    <row r="94" spans="1:34" ht="21.75" thickBot="1" x14ac:dyDescent="0.3">
      <c r="A94" s="15"/>
      <c r="B94" s="1"/>
      <c r="C94" s="1"/>
      <c r="D94" s="1"/>
      <c r="E94" s="118"/>
      <c r="F94" s="1"/>
      <c r="G94" s="150"/>
      <c r="H94" s="151" t="s">
        <v>53</v>
      </c>
      <c r="I94" s="151"/>
      <c r="J94" s="151"/>
      <c r="K94" s="151"/>
      <c r="L94" s="151"/>
      <c r="M94" s="151"/>
      <c r="N94" s="152"/>
      <c r="O94" s="151" t="s">
        <v>54</v>
      </c>
      <c r="P94" s="151"/>
      <c r="Q94" s="151"/>
      <c r="R94" s="151"/>
      <c r="S94" s="151"/>
      <c r="T94" s="153"/>
      <c r="U94" s="153"/>
      <c r="V94" s="153"/>
      <c r="W94" s="153"/>
      <c r="X94" s="153"/>
      <c r="Y94" s="154"/>
      <c r="AA94" s="147"/>
      <c r="AB94" s="119"/>
      <c r="AC94" s="1"/>
      <c r="AD94" s="1"/>
      <c r="AE94" s="1"/>
      <c r="AF94" s="1"/>
      <c r="AG94" s="1"/>
      <c r="AH94" s="1"/>
    </row>
    <row r="95" spans="1:34" ht="32.25" thickBot="1" x14ac:dyDescent="0.3">
      <c r="A95" s="15"/>
      <c r="B95" s="1"/>
      <c r="C95" s="1"/>
      <c r="D95" s="1"/>
      <c r="E95" s="118"/>
      <c r="F95" s="1"/>
      <c r="G95" s="155"/>
      <c r="H95" s="46" t="s">
        <v>55</v>
      </c>
      <c r="I95" s="156" t="s">
        <v>56</v>
      </c>
      <c r="J95" s="157" t="s">
        <v>57</v>
      </c>
      <c r="K95" s="158" t="s">
        <v>58</v>
      </c>
      <c r="L95" s="159" t="s">
        <v>59</v>
      </c>
      <c r="M95" s="160" t="s">
        <v>60</v>
      </c>
      <c r="N95" s="161"/>
      <c r="O95" s="246" t="s">
        <v>61</v>
      </c>
      <c r="P95" s="247"/>
      <c r="Q95" s="247"/>
      <c r="R95" s="248"/>
      <c r="S95" s="162" t="s">
        <v>62</v>
      </c>
      <c r="T95" s="249" t="s">
        <v>63</v>
      </c>
      <c r="U95" s="250"/>
      <c r="V95" s="251"/>
      <c r="W95" s="232" t="s">
        <v>64</v>
      </c>
      <c r="X95" s="252"/>
      <c r="Y95" s="253"/>
      <c r="AA95" s="147"/>
      <c r="AB95" s="119"/>
      <c r="AC95" s="1"/>
      <c r="AD95" s="1"/>
      <c r="AE95" s="1"/>
      <c r="AF95" s="1"/>
      <c r="AG95" s="1"/>
      <c r="AH95" s="1"/>
    </row>
    <row r="96" spans="1:34" ht="21.75" thickBot="1" x14ac:dyDescent="0.3">
      <c r="A96" s="15"/>
      <c r="B96" s="1"/>
      <c r="C96" s="1"/>
      <c r="D96" s="1"/>
      <c r="E96" s="163">
        <f>H96-M96</f>
        <v>0</v>
      </c>
      <c r="F96" s="1"/>
      <c r="G96" s="164"/>
      <c r="H96" s="165">
        <v>100000</v>
      </c>
      <c r="I96" s="166" t="s">
        <v>73</v>
      </c>
      <c r="J96" s="167">
        <f>IF($I96="YES",$H96*$X36,$H96*J36)</f>
        <v>50000</v>
      </c>
      <c r="K96" s="168">
        <f>IF($I96="YES",$H96*$X37,$H96*K36)</f>
        <v>25000</v>
      </c>
      <c r="L96" s="169">
        <f>IF($I96="YES",$H96*$X38,$H96*L36)</f>
        <v>25000</v>
      </c>
      <c r="M96" s="170">
        <f>SUM(J96:L96)</f>
        <v>100000</v>
      </c>
      <c r="N96" s="171"/>
      <c r="O96" s="254">
        <v>1000000</v>
      </c>
      <c r="P96" s="255"/>
      <c r="Q96" s="255"/>
      <c r="R96" s="256"/>
      <c r="S96" s="172">
        <f>O96*J74</f>
        <v>200000</v>
      </c>
      <c r="T96" s="257">
        <f>O96*L74</f>
        <v>200000</v>
      </c>
      <c r="U96" s="258"/>
      <c r="V96" s="258"/>
      <c r="W96" s="259">
        <f>O96-SUM(S96:T96)</f>
        <v>600000</v>
      </c>
      <c r="X96" s="260"/>
      <c r="Y96" s="261"/>
      <c r="AA96" s="147"/>
      <c r="AB96" s="119"/>
      <c r="AC96" s="1"/>
      <c r="AD96" s="1"/>
      <c r="AE96" s="1"/>
      <c r="AF96" s="1"/>
      <c r="AG96" s="1"/>
      <c r="AH96" s="1"/>
    </row>
    <row r="97" spans="1:34" ht="8.1" customHeight="1" x14ac:dyDescent="0.25">
      <c r="A97" s="15"/>
      <c r="B97" s="1"/>
      <c r="C97" s="1"/>
      <c r="D97" s="1"/>
      <c r="E97" s="173">
        <f>O96-SUM(S96:Y96)</f>
        <v>0</v>
      </c>
      <c r="F97" s="71"/>
      <c r="G97" s="174"/>
      <c r="H97" s="174"/>
      <c r="I97" s="174"/>
      <c r="J97" s="175"/>
      <c r="K97" s="149"/>
      <c r="L97" s="149"/>
      <c r="M97" s="149"/>
      <c r="N97" s="149"/>
      <c r="O97" s="149"/>
      <c r="P97" s="149"/>
      <c r="Q97" s="149"/>
      <c r="R97" s="149"/>
      <c r="S97" s="149"/>
      <c r="T97" s="149"/>
      <c r="U97" s="149"/>
      <c r="V97" s="149"/>
      <c r="W97" s="149"/>
      <c r="X97" s="149"/>
      <c r="Y97" s="1"/>
      <c r="AA97" s="147"/>
      <c r="AB97" s="119"/>
      <c r="AC97" s="1"/>
      <c r="AD97" s="1"/>
      <c r="AE97" s="1"/>
      <c r="AF97" s="1"/>
      <c r="AG97" s="1"/>
      <c r="AH97" s="1"/>
    </row>
    <row r="98" spans="1:34" ht="21" x14ac:dyDescent="0.35">
      <c r="A98" s="15"/>
      <c r="B98" s="1"/>
      <c r="C98" s="1"/>
      <c r="D98" s="1"/>
      <c r="E98" s="176"/>
      <c r="F98" s="71"/>
      <c r="G98" s="177"/>
      <c r="H98" s="177"/>
      <c r="I98" s="177"/>
      <c r="J98" s="178"/>
      <c r="K98" s="149"/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"/>
      <c r="AA98" s="147"/>
      <c r="AB98" s="119"/>
      <c r="AC98" s="1"/>
      <c r="AD98" s="1"/>
      <c r="AE98" s="1"/>
      <c r="AF98" s="1"/>
      <c r="AG98" s="1"/>
      <c r="AH98" s="1"/>
    </row>
    <row r="99" spans="1:34" ht="6" customHeight="1" x14ac:dyDescent="0.25">
      <c r="A99" s="1"/>
      <c r="B99" s="1"/>
      <c r="C99" s="1"/>
      <c r="D99" s="1"/>
      <c r="E99" s="118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x14ac:dyDescent="0.25">
      <c r="A100" s="1"/>
      <c r="B100" s="1"/>
      <c r="C100" s="1"/>
      <c r="D100" s="1"/>
      <c r="E100" s="118"/>
      <c r="F100" s="1"/>
      <c r="G100" s="1"/>
      <c r="H100" s="1"/>
      <c r="I100" s="1"/>
      <c r="J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x14ac:dyDescent="0.25">
      <c r="A101" s="1"/>
      <c r="B101" s="1"/>
      <c r="C101" s="1"/>
      <c r="D101" s="1"/>
      <c r="E101" s="118"/>
      <c r="F101" s="1"/>
      <c r="G101" s="1"/>
      <c r="H101" s="1"/>
      <c r="I101" s="1"/>
      <c r="J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idden="1" x14ac:dyDescent="0.25">
      <c r="A102" s="1"/>
      <c r="B102" s="1"/>
      <c r="C102" s="1"/>
      <c r="D102" s="1"/>
      <c r="E102" s="118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31.5" hidden="1" x14ac:dyDescent="0.25">
      <c r="A103" s="1"/>
      <c r="B103" s="1"/>
      <c r="C103" s="1"/>
      <c r="D103" s="1"/>
      <c r="E103" s="118"/>
      <c r="F103" s="1"/>
      <c r="G103" s="30" t="s">
        <v>65</v>
      </c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28.5" hidden="1" x14ac:dyDescent="0.25">
      <c r="A104" s="1"/>
      <c r="B104" s="1"/>
      <c r="C104" s="1"/>
      <c r="D104" s="1"/>
      <c r="E104" s="118"/>
      <c r="F104" s="1"/>
      <c r="G104" s="179" t="s">
        <v>66</v>
      </c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8.1" hidden="1" customHeight="1" x14ac:dyDescent="0.25">
      <c r="A105" s="1"/>
      <c r="B105" s="1"/>
      <c r="C105" s="1"/>
      <c r="D105" s="1"/>
      <c r="E105" s="118"/>
      <c r="F105" s="1"/>
      <c r="G105" s="35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26.25" hidden="1" x14ac:dyDescent="0.25">
      <c r="A106" s="1"/>
      <c r="B106" s="1"/>
      <c r="C106" s="1"/>
      <c r="D106" s="1"/>
      <c r="E106" s="118"/>
      <c r="F106" s="1"/>
      <c r="G106" s="180" t="s">
        <v>67</v>
      </c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21" hidden="1" x14ac:dyDescent="0.25">
      <c r="A107" s="15">
        <v>1</v>
      </c>
      <c r="B107" s="1"/>
      <c r="C107" s="40">
        <f>M3</f>
        <v>0.7</v>
      </c>
      <c r="D107" s="181">
        <v>0.6</v>
      </c>
      <c r="E107" s="118"/>
      <c r="F107" s="1"/>
      <c r="G107" s="228" t="str">
        <f>CONCATENATE(A107,") DHCD will generally receive at least a ",TEXT(D107,"0.00%")," Base Percentage of Surplus Cash (never to exceed ",TEXT(C107,"0.00%"),")")</f>
        <v>1) DHCD will generally receive at least a 60.00% Base Percentage of Surplus Cash (never to exceed 70.00%)</v>
      </c>
      <c r="H107" s="229"/>
      <c r="I107" s="229"/>
      <c r="J107" s="229"/>
      <c r="K107" s="229"/>
      <c r="L107" s="229"/>
      <c r="M107" s="229"/>
      <c r="N107" s="229"/>
      <c r="O107" s="229"/>
      <c r="P107" s="229"/>
      <c r="Q107" s="229"/>
      <c r="R107" s="229"/>
      <c r="S107" s="229"/>
      <c r="T107" s="229"/>
      <c r="U107" s="229"/>
      <c r="V107" s="229"/>
      <c r="W107" s="229"/>
      <c r="X107" s="229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21" hidden="1" x14ac:dyDescent="0.25">
      <c r="A108" s="15">
        <f>A107+1</f>
        <v>2</v>
      </c>
      <c r="B108" s="1"/>
      <c r="C108" s="181">
        <v>0.6</v>
      </c>
      <c r="D108" s="181">
        <v>0.25</v>
      </c>
      <c r="E108" s="118"/>
      <c r="F108" s="1"/>
      <c r="G108" s="228" t="str">
        <f>CONCATENATE(A108,") DHCD will receive no more than ",TEXT(P$7,"0.00%")," of Surplus Cash until Developer Deferred Fees are Paid in Full")</f>
        <v>2) DHCD will receive no more than 50.00% of Surplus Cash until Developer Deferred Fees are Paid in Full</v>
      </c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  <c r="U108" s="229"/>
      <c r="V108" s="229"/>
      <c r="W108" s="229"/>
      <c r="X108" s="229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21" hidden="1" x14ac:dyDescent="0.25">
      <c r="A109" s="15">
        <f>A108+1</f>
        <v>3</v>
      </c>
      <c r="B109" s="181">
        <v>0.75</v>
      </c>
      <c r="C109" s="181">
        <v>0.5</v>
      </c>
      <c r="D109" s="40">
        <f>B109-C109</f>
        <v>0.25</v>
      </c>
      <c r="E109" s="118"/>
      <c r="F109" s="1"/>
      <c r="G109" s="228" t="str">
        <f>CONCATENATE(A109,") Developer Share of Surplus Cash is always a Minimum of ",TEXT(B118,"0.00%"),", even when the Developer shares Surplus Cash with Local Gov")</f>
        <v>3) Developer Share of Surplus Cash is always a Minimum of 25.00%, even when the Developer shares Surplus Cash with Local Gov</v>
      </c>
      <c r="H109" s="229"/>
      <c r="I109" s="229"/>
      <c r="J109" s="229"/>
      <c r="K109" s="229"/>
      <c r="L109" s="229"/>
      <c r="M109" s="229"/>
      <c r="N109" s="229"/>
      <c r="O109" s="229"/>
      <c r="P109" s="229"/>
      <c r="Q109" s="229"/>
      <c r="R109" s="229"/>
      <c r="S109" s="229"/>
      <c r="T109" s="229"/>
      <c r="U109" s="229"/>
      <c r="V109" s="229"/>
      <c r="W109" s="229"/>
      <c r="X109" s="229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21" hidden="1" x14ac:dyDescent="0.25">
      <c r="A110" s="15">
        <f>A109+1</f>
        <v>4</v>
      </c>
      <c r="B110" s="1"/>
      <c r="C110" s="1"/>
      <c r="D110" s="1"/>
      <c r="E110" s="118"/>
      <c r="F110" s="1"/>
      <c r="G110" s="228" t="str">
        <f>CONCATENATE(A110,") The Local Gov can negotiate with the Developer for a portion of the Developer's Surplus Cash %, with the following parameters:")</f>
        <v>4) The Local Gov can negotiate with the Developer for a portion of the Developer's Surplus Cash %, with the following parameters:</v>
      </c>
      <c r="H110" s="229"/>
      <c r="I110" s="229"/>
      <c r="J110" s="229"/>
      <c r="K110" s="229"/>
      <c r="L110" s="229"/>
      <c r="M110" s="229"/>
      <c r="N110" s="229"/>
      <c r="O110" s="229"/>
      <c r="P110" s="229"/>
      <c r="Q110" s="229"/>
      <c r="R110" s="229"/>
      <c r="S110" s="229"/>
      <c r="T110" s="229"/>
      <c r="U110" s="229"/>
      <c r="V110" s="229"/>
      <c r="W110" s="229"/>
      <c r="X110" s="229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8.75" hidden="1" x14ac:dyDescent="0.25">
      <c r="A111" s="15"/>
      <c r="B111" s="1"/>
      <c r="C111" s="1"/>
      <c r="D111" s="1"/>
      <c r="E111" s="118"/>
      <c r="F111" s="1"/>
      <c r="G111" s="244" t="str">
        <f>CONCATENATE("a) The negotiated amount is does not result in the Developer receiving less than ",TEXT(B118,"0.00%"))</f>
        <v>a) The negotiated amount is does not result in the Developer receiving less than 25.00%</v>
      </c>
      <c r="H111" s="245"/>
      <c r="I111" s="245"/>
      <c r="J111" s="245"/>
      <c r="K111" s="245"/>
      <c r="L111" s="245"/>
      <c r="M111" s="245"/>
      <c r="N111" s="245"/>
      <c r="O111" s="245"/>
      <c r="P111" s="245"/>
      <c r="Q111" s="245"/>
      <c r="R111" s="245"/>
      <c r="S111" s="245"/>
      <c r="T111" s="245"/>
      <c r="U111" s="245"/>
      <c r="V111" s="245"/>
      <c r="W111" s="245"/>
      <c r="X111" s="245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8.75" hidden="1" x14ac:dyDescent="0.25">
      <c r="A112" s="15"/>
      <c r="B112" s="1"/>
      <c r="C112" s="1"/>
      <c r="D112" s="1"/>
      <c r="E112" s="118"/>
      <c r="F112" s="1"/>
      <c r="G112" s="244" t="str">
        <f>CONCATENATE("b) The Local Government provides over ",TEXT(C108,"0.00%")," of the total Soft Debt; the Local Government's split will be ",TEXT(D108,"0.00%")," of the Surplus Cash")</f>
        <v>b) The Local Government provides over 60.00% of the total Soft Debt; the Local Government's split will be 25.00% of the Surplus Cash</v>
      </c>
      <c r="H112" s="245"/>
      <c r="I112" s="245"/>
      <c r="J112" s="245"/>
      <c r="K112" s="245"/>
      <c r="L112" s="245"/>
      <c r="M112" s="245"/>
      <c r="N112" s="245"/>
      <c r="O112" s="245"/>
      <c r="P112" s="245"/>
      <c r="Q112" s="245"/>
      <c r="R112" s="245"/>
      <c r="S112" s="245"/>
      <c r="T112" s="245"/>
      <c r="U112" s="245"/>
      <c r="V112" s="245"/>
      <c r="W112" s="245"/>
      <c r="X112" s="245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6" ht="21" hidden="1" x14ac:dyDescent="0.25">
      <c r="A113" s="15">
        <f>A110+1</f>
        <v>5</v>
      </c>
      <c r="B113" s="1"/>
      <c r="C113" s="1"/>
      <c r="D113" s="1"/>
      <c r="E113" s="118"/>
      <c r="F113" s="1"/>
      <c r="G113" s="228" t="str">
        <f>CONCATENATE(A113,") DHCD and Local Government Share of Surplus Cash is Uncapped by the Annual Debt Service Amount Due")</f>
        <v>5) DHCD and Local Government Share of Surplus Cash is Uncapped by the Annual Debt Service Amount Due</v>
      </c>
      <c r="H113" s="229"/>
      <c r="I113" s="229"/>
      <c r="J113" s="229"/>
      <c r="K113" s="229"/>
      <c r="L113" s="229"/>
      <c r="M113" s="229"/>
      <c r="N113" s="229"/>
      <c r="O113" s="229"/>
      <c r="P113" s="229"/>
      <c r="Q113" s="229"/>
      <c r="R113" s="229"/>
      <c r="S113" s="229"/>
      <c r="T113" s="229"/>
      <c r="U113" s="229"/>
      <c r="V113" s="229"/>
      <c r="W113" s="229"/>
      <c r="X113" s="229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6" hidden="1" x14ac:dyDescent="0.25">
      <c r="B114" s="1"/>
      <c r="C114" s="1"/>
      <c r="D114" s="1"/>
      <c r="E114" s="118"/>
      <c r="F114" s="1"/>
      <c r="G114" s="230" t="str">
        <f>CONCATENATE("NOTE FOR DEVELOPER SHARE: ",G140,"; ",G141,,"; ",G142,"; and, ",G143,".")</f>
        <v>NOTE FOR DEVELOPER SHARE: a) Local Portion Less Than 20% of Soft Debt -- Developer Split of 30% (up to 5% available for Local Gov); b) Local Portion Between 20% and 40% of Soft Debt -- Developer Split of 35% (up to 10% available for Local Gov); c) Local Portion Between 40% and 60% of Soft Debt -- Developer Split of 40% (up to 15% available for Local Gov); and, d) Local Portion Over 60% of Soft Debt -- Developer Split of 25% with 25% mandated to the Local Gov.</v>
      </c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  <c r="S114" s="231"/>
      <c r="T114" s="231"/>
      <c r="U114" s="231"/>
      <c r="V114" s="231"/>
      <c r="W114" s="231"/>
      <c r="X114" s="23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6" hidden="1" x14ac:dyDescent="0.25">
      <c r="B115" s="1"/>
      <c r="C115" s="1"/>
      <c r="D115" s="1"/>
      <c r="E115" s="118"/>
      <c r="F115" s="1"/>
      <c r="G115" s="230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  <c r="R115" s="231"/>
      <c r="S115" s="231"/>
      <c r="T115" s="231"/>
      <c r="U115" s="231"/>
      <c r="V115" s="231"/>
      <c r="W115" s="231"/>
      <c r="X115" s="23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6" hidden="1" x14ac:dyDescent="0.25">
      <c r="A116" s="1"/>
      <c r="B116" s="1"/>
      <c r="C116" s="1"/>
      <c r="D116" s="1"/>
      <c r="E116" s="182"/>
      <c r="F116" s="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  <c r="S116" s="231"/>
      <c r="T116" s="231"/>
      <c r="U116" s="231"/>
      <c r="V116" s="231"/>
      <c r="W116" s="231"/>
      <c r="X116" s="23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6" ht="8.1" hidden="1" customHeight="1" thickBot="1" x14ac:dyDescent="0.25">
      <c r="A117" s="1"/>
      <c r="B117" s="1"/>
      <c r="C117" s="1"/>
      <c r="D117" s="1"/>
      <c r="E117" s="118"/>
      <c r="F117" s="1"/>
      <c r="G117" s="37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6" ht="30.75" hidden="1" thickBot="1" x14ac:dyDescent="0.3">
      <c r="A118" s="1"/>
      <c r="B118" s="181">
        <v>0.25</v>
      </c>
      <c r="C118" s="181">
        <v>0.5</v>
      </c>
      <c r="D118" s="183">
        <v>0</v>
      </c>
      <c r="E118" s="184"/>
      <c r="F118" s="43"/>
      <c r="G118" s="44"/>
      <c r="H118" s="48" t="s">
        <v>68</v>
      </c>
      <c r="I118" s="49" t="s">
        <v>69</v>
      </c>
      <c r="J118" s="47" t="s">
        <v>30</v>
      </c>
      <c r="K118" s="48" t="s">
        <v>32</v>
      </c>
      <c r="L118" s="49" t="s">
        <v>70</v>
      </c>
      <c r="M118" s="50" t="s">
        <v>33</v>
      </c>
      <c r="N118" s="185"/>
      <c r="O118" s="186"/>
      <c r="P118" s="232" t="s">
        <v>34</v>
      </c>
      <c r="Q118" s="232"/>
      <c r="R118" s="232"/>
      <c r="S118" s="232"/>
      <c r="T118" s="232"/>
      <c r="U118" s="232"/>
      <c r="V118" s="232"/>
      <c r="W118" s="232"/>
      <c r="X118" s="232"/>
      <c r="Y118" s="55"/>
      <c r="Z118" s="1"/>
      <c r="AA118" s="1"/>
      <c r="AB118" s="57" t="s">
        <v>36</v>
      </c>
      <c r="AC118" s="57" t="s">
        <v>37</v>
      </c>
      <c r="AD118" s="57" t="s">
        <v>38</v>
      </c>
      <c r="AE118" s="187" t="s">
        <v>71</v>
      </c>
      <c r="AF118" s="1"/>
      <c r="AG118" s="1"/>
      <c r="AH118" s="1"/>
    </row>
    <row r="119" spans="1:36" ht="21" hidden="1" x14ac:dyDescent="0.25">
      <c r="A119" s="15">
        <v>1</v>
      </c>
      <c r="B119" s="1"/>
      <c r="C119" s="40">
        <f>1-MAX(M7:M13)</f>
        <v>0.30000000000000004</v>
      </c>
      <c r="D119" s="1"/>
      <c r="E119" s="58">
        <f>IF(SUMIF($G$8:$G$13,$D120,$L$8:$L$13)=0,L119-0,IF(I119&lt;D$118,L119-0,IF(I120&gt;C$108,L119-D$109,IF(OR(L119=0,J119&lt;=C$118),L119-D$108,(H119/I119)-(J119/L119)))))</f>
        <v>0</v>
      </c>
      <c r="F119" s="144"/>
      <c r="G119" s="233" t="str">
        <f>CONCATENATE("Example ",A119)</f>
        <v>Example 1</v>
      </c>
      <c r="H119" s="188">
        <v>2000000</v>
      </c>
      <c r="I119" s="189">
        <v>0</v>
      </c>
      <c r="J119" s="235">
        <f>1-SUM(K119:L120)</f>
        <v>0.7</v>
      </c>
      <c r="K119" s="236">
        <f>SUMIF($G$8:$G$13,$D120,$K$8:$K$13)</f>
        <v>0.3</v>
      </c>
      <c r="L119" s="238">
        <f>IF(I119&lt;D$118,0,IF(AND(I120&gt;C$109),D$108,IF(1-(I120*(1-K119)+K119)&lt;C$118,((1-C$118)-K119),I120*(1-K119))))</f>
        <v>0</v>
      </c>
      <c r="M119" s="239">
        <f>SUM(J119:L119)</f>
        <v>1</v>
      </c>
      <c r="N119" s="59"/>
      <c r="O119" s="60"/>
      <c r="P119" s="241" t="str">
        <f>CONCATENATE(IF(J119&gt;P$7,P$8,""),"",IF(AND(L119=0,I119&gt;0),P$9,""),CONCATENATE(IF(AE119="","",""),IF(AND(NOT(AB120=0),L119=AB120),AE120,AE119)),"",CONCATENATE(IF(L119=AC120,"",""),IF(AND(NOT(L119=AB120),L119&gt;0),P$10,"")))</f>
        <v>DHCD will only take 50% of Surplus Cash until all Developer Deferred Fees are Paid.</v>
      </c>
      <c r="Q119" s="242"/>
      <c r="R119" s="242"/>
      <c r="S119" s="242"/>
      <c r="T119" s="242"/>
      <c r="U119" s="242"/>
      <c r="V119" s="242"/>
      <c r="W119" s="242"/>
      <c r="X119" s="242"/>
      <c r="Y119" s="154"/>
      <c r="Z119" s="66"/>
      <c r="AA119" s="66"/>
      <c r="AB119" s="56"/>
      <c r="AC119" s="1"/>
      <c r="AD119" s="1"/>
      <c r="AE119" s="1"/>
      <c r="AF119" s="1"/>
      <c r="AG119" s="1"/>
      <c r="AH119" s="1"/>
    </row>
    <row r="120" spans="1:36" ht="21" hidden="1" x14ac:dyDescent="0.25">
      <c r="A120" s="15"/>
      <c r="B120" s="1"/>
      <c r="C120" s="1"/>
      <c r="D120" s="15">
        <f>IF(I119&lt;D118,G$8,IF(I120&lt;=I$8,G$8,IF(I120&lt;=I$9,G$9,IF(I120&lt;=I$10,G$10,IF(I120&lt;=I$11,G$11,IF(I120&lt;=I$12,G$12,0))))))</f>
        <v>1</v>
      </c>
      <c r="E120" s="58">
        <f>(L119-SUMIF($G$8:$G$13,$D120,$L$8:$L$13))+(J119-SUMIF($G$8:$G$13,$D120,$M$8:$M$13))</f>
        <v>0</v>
      </c>
      <c r="F120" s="105"/>
      <c r="G120" s="234"/>
      <c r="H120" s="190">
        <f>H119/SUM($H119:$I119)</f>
        <v>1</v>
      </c>
      <c r="I120" s="191">
        <f>I119/SUM($H119:$I119)</f>
        <v>0</v>
      </c>
      <c r="J120" s="219"/>
      <c r="K120" s="237"/>
      <c r="L120" s="222"/>
      <c r="M120" s="240"/>
      <c r="N120" s="106"/>
      <c r="O120" s="107"/>
      <c r="P120" s="225"/>
      <c r="Q120" s="243"/>
      <c r="R120" s="243"/>
      <c r="S120" s="243"/>
      <c r="T120" s="243"/>
      <c r="U120" s="243"/>
      <c r="V120" s="243"/>
      <c r="W120" s="243"/>
      <c r="X120" s="243"/>
      <c r="Y120" s="192"/>
      <c r="Z120" s="66"/>
      <c r="AA120" s="66"/>
      <c r="AB120" s="114">
        <f>I120*B$89</f>
        <v>0</v>
      </c>
      <c r="AC120" s="114">
        <f>L119</f>
        <v>0</v>
      </c>
      <c r="AD120" s="114">
        <f>AC120-AB120</f>
        <v>0</v>
      </c>
      <c r="AE120" s="114">
        <f>IF(I119=0,0,K119-D$108)</f>
        <v>0</v>
      </c>
      <c r="AF120" s="1"/>
      <c r="AG120" s="1"/>
      <c r="AH120" s="193">
        <f>H119-H36</f>
        <v>0</v>
      </c>
      <c r="AI120" s="193">
        <f>I119-I36</f>
        <v>-2000000</v>
      </c>
      <c r="AJ120" s="25">
        <f>L119-K36</f>
        <v>-0.25</v>
      </c>
    </row>
    <row r="121" spans="1:36" ht="21" hidden="1" x14ac:dyDescent="0.25">
      <c r="A121" s="15">
        <f>A119+1</f>
        <v>2</v>
      </c>
      <c r="B121" s="1"/>
      <c r="C121" s="1"/>
      <c r="D121" s="194"/>
      <c r="E121" s="58">
        <f>IF(SUMIF($G$8:$G$13,$D122,$L$8:$L$13)=0,L121-0,IF(I121&lt;D$118,L121-0,IF(I122&gt;C$108,L121-D$109,IF(OR(L121=0,J121&lt;=C$118),L121-D$108,(H121/I121)-(J121/L121)))))</f>
        <v>0</v>
      </c>
      <c r="F121" s="100"/>
      <c r="G121" s="226" t="str">
        <f>CONCATENATE("Example ",A121)</f>
        <v>Example 2</v>
      </c>
      <c r="H121" s="195">
        <v>2000000</v>
      </c>
      <c r="I121" s="196">
        <v>225000</v>
      </c>
      <c r="J121" s="218">
        <f>1-SUM(K121:L122)</f>
        <v>0.7</v>
      </c>
      <c r="K121" s="220">
        <f>SUMIF($G$8:$G$13,$D122,$K$8:$K$13)</f>
        <v>0.3</v>
      </c>
      <c r="L121" s="209">
        <f>IF(OR(I122&lt;C$108,I121&lt;D$118),0,IF(AND(I122&gt;C$109),D$108,IF(1-(I122*(1-K121)+K121)&lt;C$118,((1-C$118)-K121),I122*(1-K121))))</f>
        <v>0</v>
      </c>
      <c r="M121" s="223">
        <f>SUM(J121:L121)</f>
        <v>1</v>
      </c>
      <c r="N121" s="70"/>
      <c r="O121" s="71"/>
      <c r="P121" s="213" t="str">
        <f>CONCATENATE(IF(J121&gt;P$7,P$8,""),"",IF(AND(L121=0,I121&gt;0),P$9,""),CONCATENATE(IF(AE121="","",""),IF(AND(NOT(AB122=0),L121=AB122),AE122,AE121)),"",CONCATENATE(IF(L121=AC122,"",""),IF(AND(NOT(L121=AB122),L121&gt;0),P$10,"")))</f>
        <v>DHCD will only take 50% of Surplus Cash until all Developer Deferred Fees are Paid. The Local Gov can negotiate with Developer for part of the Developer's Share of Surplus Cash; however, the Developer's share can not go below 25%.</v>
      </c>
      <c r="Q121" s="214"/>
      <c r="R121" s="214"/>
      <c r="S121" s="214"/>
      <c r="T121" s="214"/>
      <c r="U121" s="214"/>
      <c r="V121" s="214"/>
      <c r="W121" s="214"/>
      <c r="X121" s="214"/>
      <c r="Y121" s="104"/>
      <c r="Z121" s="66"/>
      <c r="AA121" s="66"/>
      <c r="AB121" s="56"/>
      <c r="AC121" s="1"/>
      <c r="AD121" s="1"/>
      <c r="AE121" s="1"/>
      <c r="AF121" s="1"/>
      <c r="AG121" s="1"/>
      <c r="AH121" s="56"/>
      <c r="AI121" s="1"/>
      <c r="AJ121" s="1"/>
    </row>
    <row r="122" spans="1:36" ht="21" hidden="1" x14ac:dyDescent="0.25">
      <c r="A122" s="15"/>
      <c r="B122" s="1"/>
      <c r="C122" s="1"/>
      <c r="D122" s="15">
        <f>IF(I121&lt;D118,G$8,IF(I122&lt;=I$8,G$8,IF(I122&lt;=I$9,G$9,IF(I122&lt;=I$10,G$10,IF(I122&lt;=I$11,G$11,IF(I122&lt;=I$12,G$12,0))))))</f>
        <v>2</v>
      </c>
      <c r="E122" s="58">
        <f>(L121-SUMIF($G$8:$G$13,$D122,$L$8:$L$13))+(J121-SUMIF($G$8:$G$13,$D122,$M$8:$M$13))</f>
        <v>0</v>
      </c>
      <c r="F122" s="105"/>
      <c r="G122" s="227"/>
      <c r="H122" s="190">
        <f>H121/SUM($H121:$I121)</f>
        <v>0.898876404494382</v>
      </c>
      <c r="I122" s="191">
        <f>I121/SUM($H121:$I121)</f>
        <v>0.10112359550561797</v>
      </c>
      <c r="J122" s="219"/>
      <c r="K122" s="221"/>
      <c r="L122" s="222"/>
      <c r="M122" s="224"/>
      <c r="N122" s="106"/>
      <c r="O122" s="107"/>
      <c r="P122" s="225"/>
      <c r="Q122" s="225"/>
      <c r="R122" s="225"/>
      <c r="S122" s="225"/>
      <c r="T122" s="225"/>
      <c r="U122" s="225"/>
      <c r="V122" s="225"/>
      <c r="W122" s="225"/>
      <c r="X122" s="225"/>
      <c r="Y122" s="192"/>
      <c r="Z122" s="66"/>
      <c r="AA122" s="66"/>
      <c r="AB122" s="114">
        <f>I122*B$89</f>
        <v>7.5842696629213474E-2</v>
      </c>
      <c r="AC122" s="114">
        <f>L121</f>
        <v>0</v>
      </c>
      <c r="AD122" s="114">
        <f>AC122-AB122</f>
        <v>-7.5842696629213474E-2</v>
      </c>
      <c r="AE122" s="114">
        <f>IF(I121=0,0,K121-D$108)</f>
        <v>4.9999999999999989E-2</v>
      </c>
      <c r="AF122" s="1"/>
      <c r="AG122" s="1"/>
      <c r="AH122" s="193">
        <f>H121-H40</f>
        <v>0</v>
      </c>
      <c r="AI122" s="193">
        <f>I121-I40</f>
        <v>0</v>
      </c>
      <c r="AJ122" s="25">
        <f>L121-L40</f>
        <v>0</v>
      </c>
    </row>
    <row r="123" spans="1:36" ht="21" hidden="1" customHeight="1" x14ac:dyDescent="0.25">
      <c r="A123" s="15">
        <f>A121+1</f>
        <v>3</v>
      </c>
      <c r="B123" s="1"/>
      <c r="C123" s="1"/>
      <c r="D123" s="1"/>
      <c r="E123" s="58">
        <f>IF(SUMIF($G$8:$G$13,$D124,$L$8:$L$13)=0,L123-0,IF(I123&lt;D$118,L123-0,IF(I124&gt;C$108,L123-D$109,IF(OR(L123=0,J123&lt;=C$118),L123-D$108,(H123/I123)-(J123/L123)))))</f>
        <v>0</v>
      </c>
      <c r="F123" s="100"/>
      <c r="G123" s="226" t="str">
        <f>CONCATENATE("Example ",A123)</f>
        <v>Example 3</v>
      </c>
      <c r="H123" s="195">
        <v>2000000</v>
      </c>
      <c r="I123" s="196">
        <v>500000</v>
      </c>
      <c r="J123" s="218">
        <f>1-SUM(K123:L124)</f>
        <v>0.7</v>
      </c>
      <c r="K123" s="220">
        <f>SUMIF($G$8:$G$13,$D124,$K$8:$K$13)</f>
        <v>0.3</v>
      </c>
      <c r="L123" s="209">
        <f>IF(OR(I124&lt;C$108,I123&lt;D$118),0,IF(AND(I124&gt;C$109),D$108,IF(1-(I124*(1-K123)+K123)&lt;C$118,((1-C$118)-K123),I124*(1-K123))))</f>
        <v>0</v>
      </c>
      <c r="M123" s="223">
        <f>SUM(J123:L123)</f>
        <v>1</v>
      </c>
      <c r="N123" s="70"/>
      <c r="O123" s="71"/>
      <c r="P123" s="213" t="str">
        <f>CONCATENATE(IF(J123&gt;P$7,P$8,""),"",IF(AND(L123=0,I123&gt;0),P$9,""),CONCATENATE(IF(AE123="","",""),IF(AND(NOT(AB124=0),L123=AB124),AE124,AE123)),"",CONCATENATE(IF(L123=AC124,"",""),IF(AND(NOT(L123=AB124),L123&gt;0),P$10,"")))</f>
        <v>DHCD will only take 50% of Surplus Cash until all Developer Deferred Fees are Paid. The Local Gov can negotiate with Developer for part of the Developer's Share of Surplus Cash; however, the Developer's share can not go below 25%.</v>
      </c>
      <c r="Q123" s="214"/>
      <c r="R123" s="214"/>
      <c r="S123" s="214"/>
      <c r="T123" s="214"/>
      <c r="U123" s="214"/>
      <c r="V123" s="214"/>
      <c r="W123" s="214"/>
      <c r="X123" s="214"/>
      <c r="Y123" s="104"/>
      <c r="Z123" s="66"/>
      <c r="AA123" s="66"/>
      <c r="AB123" s="56"/>
      <c r="AC123" s="1"/>
      <c r="AD123" s="1"/>
      <c r="AE123" s="1"/>
      <c r="AF123" s="1"/>
      <c r="AG123" s="1"/>
      <c r="AH123" s="56"/>
      <c r="AI123" s="1"/>
      <c r="AJ123" s="1"/>
    </row>
    <row r="124" spans="1:36" ht="21" hidden="1" x14ac:dyDescent="0.25">
      <c r="A124" s="15"/>
      <c r="B124" s="1"/>
      <c r="C124" s="1"/>
      <c r="D124" s="15">
        <f>IF(I123&lt;D104,G$8,IF(I124&lt;=I$8,G$8,IF(I124&lt;=I$9,G$9,IF(I124&lt;=I$10,G$10,IF(I124&lt;=I$11,G$11,IF(I124&lt;=I$12,G$12,0))))))</f>
        <v>2</v>
      </c>
      <c r="E124" s="58">
        <f>(L123-SUMIF($G$8:$G$13,$D124,$L$8:$L$13))+(J123-SUMIF($G$8:$G$13,$D124,$M$8:$M$13))</f>
        <v>0</v>
      </c>
      <c r="F124" s="105"/>
      <c r="G124" s="227"/>
      <c r="H124" s="190">
        <f>H123/SUM($H123:$I123)</f>
        <v>0.8</v>
      </c>
      <c r="I124" s="191">
        <f>I123/SUM($H123:$I123)</f>
        <v>0.2</v>
      </c>
      <c r="J124" s="219"/>
      <c r="K124" s="221"/>
      <c r="L124" s="222"/>
      <c r="M124" s="224"/>
      <c r="N124" s="106"/>
      <c r="O124" s="107"/>
      <c r="P124" s="225"/>
      <c r="Q124" s="225"/>
      <c r="R124" s="225"/>
      <c r="S124" s="225"/>
      <c r="T124" s="225"/>
      <c r="U124" s="225"/>
      <c r="V124" s="225"/>
      <c r="W124" s="225"/>
      <c r="X124" s="225"/>
      <c r="Y124" s="192"/>
      <c r="Z124" s="66"/>
      <c r="AA124" s="66"/>
      <c r="AB124" s="114">
        <f>I124*B$89</f>
        <v>0.15000000000000002</v>
      </c>
      <c r="AC124" s="114">
        <f>L123</f>
        <v>0</v>
      </c>
      <c r="AD124" s="114">
        <f>AC124-AB124</f>
        <v>-0.15000000000000002</v>
      </c>
      <c r="AE124" s="114">
        <f>IF(I123=0,0,K123-D$108)</f>
        <v>4.9999999999999989E-2</v>
      </c>
      <c r="AF124" s="1"/>
      <c r="AG124" s="1"/>
      <c r="AH124" s="193">
        <f>H123-H44</f>
        <v>0</v>
      </c>
      <c r="AI124" s="193">
        <f>I123-I44</f>
        <v>0</v>
      </c>
      <c r="AJ124" s="25">
        <f>L123-L44</f>
        <v>-0.15000000000000002</v>
      </c>
    </row>
    <row r="125" spans="1:36" ht="21" hidden="1" customHeight="1" x14ac:dyDescent="0.25">
      <c r="A125" s="15">
        <f>A123+1</f>
        <v>4</v>
      </c>
      <c r="B125" s="1"/>
      <c r="C125" s="1"/>
      <c r="D125" s="1"/>
      <c r="E125" s="58">
        <f>IF(SUMIF($G$8:$G$13,$D126,$L$8:$L$13)=0,L125-0,IF(I125&lt;D$118,L125-0,IF(I126&gt;C$108,L125-D$109,IF(OR(L125=0,J125&lt;=C$118),L125-D$108,(H125/I125)-(J125/L125)))))</f>
        <v>0</v>
      </c>
      <c r="F125" s="100"/>
      <c r="G125" s="226" t="str">
        <f>CONCATENATE("Example ",A125)</f>
        <v>Example 4</v>
      </c>
      <c r="H125" s="195">
        <v>2000000</v>
      </c>
      <c r="I125" s="196">
        <v>750000</v>
      </c>
      <c r="J125" s="218">
        <f>1-SUM(K125:L126)</f>
        <v>0.65</v>
      </c>
      <c r="K125" s="220">
        <f>SUMIF($G$8:$G$13,$D126,$K$8:$K$13)</f>
        <v>0.35</v>
      </c>
      <c r="L125" s="209">
        <f>IF(OR(I126&lt;C$108,I125&lt;D$118),0,IF(AND(I126&gt;C$109),D$108,IF(1-(I126*(1-K125)+K125)&lt;C$118,((1-C$118)-K125),I126*(1-K125))))</f>
        <v>0</v>
      </c>
      <c r="M125" s="223">
        <f>SUM(J125:L125)</f>
        <v>1</v>
      </c>
      <c r="N125" s="70"/>
      <c r="O125" s="71"/>
      <c r="P125" s="213" t="str">
        <f>CONCATENATE(IF(J125&gt;P$7,P$8,""),"",IF(AND(L125=0,I125&gt;0),P$9,""),CONCATENATE(IF(AE125="","",""),IF(AND(NOT(AB126=0),L125=AB126),AE126,AE125)),"",CONCATENATE(IF(L125=AC126,"",""),IF(AND(NOT(L125=AB126),L125&gt;0),P$10,"")))</f>
        <v>DHCD will only take 50% of Surplus Cash until all Developer Deferred Fees are Paid. The Local Gov can negotiate with Developer for part of the Developer's Share of Surplus Cash; however, the Developer's share can not go below 25%.</v>
      </c>
      <c r="Q125" s="214"/>
      <c r="R125" s="214"/>
      <c r="S125" s="214"/>
      <c r="T125" s="214"/>
      <c r="U125" s="214"/>
      <c r="V125" s="214"/>
      <c r="W125" s="214"/>
      <c r="X125" s="214"/>
      <c r="Y125" s="104"/>
      <c r="Z125" s="66"/>
      <c r="AA125" s="66"/>
      <c r="AB125" s="56"/>
      <c r="AC125" s="1"/>
      <c r="AD125" s="1"/>
      <c r="AE125" s="1"/>
      <c r="AF125" s="1"/>
      <c r="AG125" s="1"/>
      <c r="AH125" s="56"/>
      <c r="AI125" s="1"/>
      <c r="AJ125" s="1"/>
    </row>
    <row r="126" spans="1:36" ht="21" hidden="1" x14ac:dyDescent="0.25">
      <c r="A126" s="15"/>
      <c r="B126" s="1"/>
      <c r="C126" s="1"/>
      <c r="D126" s="15">
        <f>IF(I125&lt;D118,G$8,IF(I126&lt;=I$8,G$8,IF(I126&lt;=I$9,G$9,IF(I126&lt;=I$10,G$10,IF(I126&lt;=I$11,G$11,IF(I126&lt;=I$12,G$12,0))))))</f>
        <v>3</v>
      </c>
      <c r="E126" s="58">
        <f>(L125-SUMIF($G$8:$G$13,$D126,$L$8:$L$13))+(J125-SUMIF($G$8:$G$13,$D126,$M$8:$M$13))</f>
        <v>0</v>
      </c>
      <c r="F126" s="105"/>
      <c r="G126" s="227"/>
      <c r="H126" s="190">
        <f>H125/SUM($H125:$I125)</f>
        <v>0.72727272727272729</v>
      </c>
      <c r="I126" s="191">
        <f>I125/SUM($H125:$I125)</f>
        <v>0.27272727272727271</v>
      </c>
      <c r="J126" s="219"/>
      <c r="K126" s="221"/>
      <c r="L126" s="222"/>
      <c r="M126" s="224"/>
      <c r="N126" s="106"/>
      <c r="O126" s="107"/>
      <c r="P126" s="225"/>
      <c r="Q126" s="225"/>
      <c r="R126" s="225"/>
      <c r="S126" s="225"/>
      <c r="T126" s="225"/>
      <c r="U126" s="225"/>
      <c r="V126" s="225"/>
      <c r="W126" s="225"/>
      <c r="X126" s="225"/>
      <c r="Y126" s="192"/>
      <c r="Z126" s="66"/>
      <c r="AA126" s="66"/>
      <c r="AB126" s="114">
        <f>I126*B$89</f>
        <v>0.20454545454545453</v>
      </c>
      <c r="AC126" s="114">
        <f>L125</f>
        <v>0</v>
      </c>
      <c r="AD126" s="114">
        <f>AC126-AB126</f>
        <v>-0.20454545454545453</v>
      </c>
      <c r="AE126" s="114">
        <f>IF(I125=0,0,K125-D$108)</f>
        <v>9.9999999999999978E-2</v>
      </c>
      <c r="AF126" s="1"/>
      <c r="AG126" s="1"/>
      <c r="AH126" s="193">
        <f>H125-H48</f>
        <v>0</v>
      </c>
      <c r="AI126" s="193">
        <f>I125-I48</f>
        <v>0</v>
      </c>
      <c r="AJ126" s="25">
        <f>L125-L48</f>
        <v>-0.20454545454545453</v>
      </c>
    </row>
    <row r="127" spans="1:36" ht="21" hidden="1" customHeight="1" x14ac:dyDescent="0.25">
      <c r="A127" s="15">
        <f>A125+1</f>
        <v>5</v>
      </c>
      <c r="B127" s="1"/>
      <c r="C127" s="1"/>
      <c r="D127" s="1"/>
      <c r="E127" s="58">
        <f>IF(SUMIF($G$8:$G$13,$D128,$L$8:$L$13)=0,L127-0,IF(I127&lt;D$118,L127-0,IF(I128&gt;C$108,L127-D$109,IF(OR(L127=0,J127&lt;=C$118),L127-D$108,(H127/I127)-(J127/L127)))))</f>
        <v>0</v>
      </c>
      <c r="F127" s="100"/>
      <c r="G127" s="226" t="str">
        <f>CONCATENATE("Example ",A127)</f>
        <v>Example 5</v>
      </c>
      <c r="H127" s="195">
        <v>2000000</v>
      </c>
      <c r="I127" s="196">
        <v>1000000</v>
      </c>
      <c r="J127" s="218">
        <f>1-SUM(K127:L128)</f>
        <v>0.65</v>
      </c>
      <c r="K127" s="220">
        <f>SUMIF($G$8:$G$13,$D128,$K$8:$K$13)</f>
        <v>0.35</v>
      </c>
      <c r="L127" s="209">
        <f>IF(OR(I128&lt;C$108,I127&lt;D$118),0,IF(AND(I128&gt;C$109),D$108,IF(1-(I128*(1-K127)+K127)&lt;C$118,((1-C$118)-K127),I128*(1-K127))))</f>
        <v>0</v>
      </c>
      <c r="M127" s="223">
        <f>SUM(J127:L127)</f>
        <v>1</v>
      </c>
      <c r="N127" s="70"/>
      <c r="O127" s="71"/>
      <c r="P127" s="213" t="str">
        <f>CONCATENATE(IF(J127&gt;P$7,P$8,""),"",IF(AND(L127=0,I127&gt;0),P$9,""),CONCATENATE(IF(AE127="","",""),IF(AND(NOT(AB128=0),L127=AB128),AE128,AE127)),"",CONCATENATE(IF(L127=AC128,"",""),IF(AND(NOT(L127=AB128),L127&gt;0),P$10,"")))</f>
        <v>DHCD will only take 50% of Surplus Cash until all Developer Deferred Fees are Paid. The Local Gov can negotiate with Developer for part of the Developer's Share of Surplus Cash; however, the Developer's share can not go below 25%.</v>
      </c>
      <c r="Q127" s="214"/>
      <c r="R127" s="214"/>
      <c r="S127" s="214"/>
      <c r="T127" s="214"/>
      <c r="U127" s="214"/>
      <c r="V127" s="214"/>
      <c r="W127" s="214"/>
      <c r="X127" s="214"/>
      <c r="Y127" s="104"/>
      <c r="Z127" s="66"/>
      <c r="AA127" s="66"/>
      <c r="AB127" s="56"/>
      <c r="AC127" s="1"/>
      <c r="AD127" s="1"/>
      <c r="AE127" s="1"/>
      <c r="AF127" s="1"/>
      <c r="AG127" s="1"/>
      <c r="AH127" s="56"/>
      <c r="AI127" s="1"/>
      <c r="AJ127" s="1"/>
    </row>
    <row r="128" spans="1:36" ht="21" hidden="1" x14ac:dyDescent="0.25">
      <c r="A128" s="15"/>
      <c r="B128" s="1"/>
      <c r="C128" s="1"/>
      <c r="D128" s="15">
        <f>IF(I127&lt;D104,G$8,IF(I128&lt;=I$8,G$8,IF(I128&lt;=I$9,G$9,IF(I128&lt;=I$10,G$10,IF(I128&lt;=I$11,G$11,IF(I128&lt;=I$12,G$12,0))))))</f>
        <v>3</v>
      </c>
      <c r="E128" s="58">
        <f>(L127-SUMIF($G$8:$G$13,$D128,$L$8:$L$13))+(J127-SUMIF($G$8:$G$13,$D128,$M$8:$M$13))</f>
        <v>0</v>
      </c>
      <c r="F128" s="105"/>
      <c r="G128" s="227"/>
      <c r="H128" s="190">
        <f>H127/SUM($H127:$I127)</f>
        <v>0.66666666666666663</v>
      </c>
      <c r="I128" s="191">
        <f>I127/SUM($H127:$I127)</f>
        <v>0.33333333333333331</v>
      </c>
      <c r="J128" s="219"/>
      <c r="K128" s="221"/>
      <c r="L128" s="222"/>
      <c r="M128" s="224"/>
      <c r="N128" s="106"/>
      <c r="O128" s="107"/>
      <c r="P128" s="225"/>
      <c r="Q128" s="225"/>
      <c r="R128" s="225"/>
      <c r="S128" s="225"/>
      <c r="T128" s="225"/>
      <c r="U128" s="225"/>
      <c r="V128" s="225"/>
      <c r="W128" s="225"/>
      <c r="X128" s="225"/>
      <c r="Y128" s="192"/>
      <c r="Z128" s="66"/>
      <c r="AA128" s="66"/>
      <c r="AB128" s="114">
        <f>I128*B$89</f>
        <v>0.25</v>
      </c>
      <c r="AC128" s="114">
        <f>L127</f>
        <v>0</v>
      </c>
      <c r="AD128" s="114">
        <f>AC128-AB128</f>
        <v>-0.25</v>
      </c>
      <c r="AE128" s="114">
        <f>IF(I127=0,0,K127-D$108)</f>
        <v>9.9999999999999978E-2</v>
      </c>
      <c r="AF128" s="1"/>
      <c r="AG128" s="1"/>
      <c r="AH128" s="193">
        <f>H127-H52</f>
        <v>0</v>
      </c>
      <c r="AI128" s="193">
        <f>I127-I52</f>
        <v>0</v>
      </c>
      <c r="AJ128" s="25">
        <f>L127-L52</f>
        <v>-0.25</v>
      </c>
    </row>
    <row r="129" spans="1:36" ht="21" hidden="1" customHeight="1" x14ac:dyDescent="0.25">
      <c r="A129" s="15">
        <f>A127+1</f>
        <v>6</v>
      </c>
      <c r="B129" s="1"/>
      <c r="C129" s="1"/>
      <c r="D129" s="1"/>
      <c r="E129" s="58">
        <f>IF(SUMIF($G$8:$G$13,$D130,$L$8:$L$13)=0,L129-0,IF(I129&lt;D$118,L129-0,IF(I130&gt;C$108,L129-D$109,IF(OR(L129=0,J129&lt;=C$118),L129-D$108,(H129/I129)-(J129/L129)))))</f>
        <v>0</v>
      </c>
      <c r="F129" s="100"/>
      <c r="G129" s="216" t="str">
        <f>CONCATENATE("Example ",A129)</f>
        <v>Example 6</v>
      </c>
      <c r="H129" s="195">
        <v>2000000</v>
      </c>
      <c r="I129" s="196">
        <v>1500000</v>
      </c>
      <c r="J129" s="218">
        <f>1-SUM(K129:L130)</f>
        <v>0.6</v>
      </c>
      <c r="K129" s="220">
        <f>SUMIF($G$8:$G$13,$D130,$K$8:$K$13)</f>
        <v>0.4</v>
      </c>
      <c r="L129" s="209">
        <f>IF(OR(I130&lt;C$108,I129&lt;D$118),0,IF(AND(I130&gt;C$109),D$108,IF(1-(I130*(1-K129)+K129)&lt;C$118,((1-C$118)-K129),I130*(1-K129))))</f>
        <v>0</v>
      </c>
      <c r="M129" s="223">
        <f>SUM(J129:L129)</f>
        <v>1</v>
      </c>
      <c r="N129" s="70"/>
      <c r="O129" s="71"/>
      <c r="P129" s="213" t="str">
        <f>CONCATENATE(IF(J129&gt;P$7,P$8,""),"",IF(AND(L129=0,I129&gt;0),P$9,""),CONCATENATE(IF(AE129="","",""),IF(AND(NOT(AB130=0),L129=AB130),AE130,AE129)),"",CONCATENATE(IF(L129=AC130,"",""),IF(AND(NOT(L129=AB130),L129&gt;0),P$10,"")))</f>
        <v>DHCD will only take 50% of Surplus Cash until all Developer Deferred Fees are Paid. The Local Gov can negotiate with Developer for part of the Developer's Share of Surplus Cash; however, the Developer's share can not go below 25%.</v>
      </c>
      <c r="Q129" s="214"/>
      <c r="R129" s="214"/>
      <c r="S129" s="214"/>
      <c r="T129" s="214"/>
      <c r="U129" s="214"/>
      <c r="V129" s="214"/>
      <c r="W129" s="214"/>
      <c r="X129" s="214"/>
      <c r="Y129" s="104"/>
      <c r="Z129" s="66"/>
      <c r="AA129" s="66"/>
      <c r="AB129" s="56"/>
      <c r="AC129" s="1"/>
      <c r="AD129" s="1"/>
      <c r="AE129" s="1"/>
      <c r="AF129" s="1"/>
      <c r="AG129" s="1"/>
      <c r="AH129" s="56"/>
      <c r="AI129" s="1"/>
      <c r="AJ129" s="1"/>
    </row>
    <row r="130" spans="1:36" ht="21" hidden="1" x14ac:dyDescent="0.25">
      <c r="A130" s="15"/>
      <c r="B130" s="1"/>
      <c r="C130" s="1"/>
      <c r="D130" s="15">
        <f>IF(I129&lt;D118,G$8,IF(I130&lt;=I$8,G$8,IF(I130&lt;=I$9,G$9,IF(I130&lt;=I$10,G$10,IF(I130&lt;=I$11,G$11,IF(I130&lt;=I$12,G$12,0))))))</f>
        <v>4</v>
      </c>
      <c r="E130" s="58">
        <f>(L129-SUMIF($G$8:$G$13,$D130,$L$8:$L$13))+(J129-SUMIF($G$8:$G$13,$D130,$M$8:$M$13))</f>
        <v>0</v>
      </c>
      <c r="F130" s="105"/>
      <c r="G130" s="217"/>
      <c r="H130" s="190">
        <f>H129/SUM($H129:$I129)</f>
        <v>0.5714285714285714</v>
      </c>
      <c r="I130" s="191">
        <f>I129/SUM($H129:$I129)</f>
        <v>0.42857142857142855</v>
      </c>
      <c r="J130" s="219"/>
      <c r="K130" s="221"/>
      <c r="L130" s="222"/>
      <c r="M130" s="224"/>
      <c r="N130" s="106"/>
      <c r="O130" s="107"/>
      <c r="P130" s="225"/>
      <c r="Q130" s="225"/>
      <c r="R130" s="225"/>
      <c r="S130" s="225"/>
      <c r="T130" s="225"/>
      <c r="U130" s="225"/>
      <c r="V130" s="225"/>
      <c r="W130" s="225"/>
      <c r="X130" s="225"/>
      <c r="Y130" s="192"/>
      <c r="Z130" s="66"/>
      <c r="AA130" s="66"/>
      <c r="AB130" s="114">
        <f>I130*B$89</f>
        <v>0.3214285714285714</v>
      </c>
      <c r="AC130" s="114">
        <f>L129</f>
        <v>0</v>
      </c>
      <c r="AD130" s="114">
        <f>AC130-AB130</f>
        <v>-0.3214285714285714</v>
      </c>
      <c r="AE130" s="114">
        <f>IF(I129=0,0,K129-D$108)</f>
        <v>0.15000000000000002</v>
      </c>
      <c r="AF130" s="1"/>
      <c r="AG130" s="1"/>
      <c r="AH130" s="193">
        <f>H129-H56</f>
        <v>0</v>
      </c>
      <c r="AI130" s="193">
        <f>I129-I56</f>
        <v>0</v>
      </c>
      <c r="AJ130" s="25">
        <f>L129-L56</f>
        <v>-0.25</v>
      </c>
    </row>
    <row r="131" spans="1:36" ht="21" hidden="1" customHeight="1" x14ac:dyDescent="0.25">
      <c r="A131" s="15">
        <f>A129+1</f>
        <v>7</v>
      </c>
      <c r="B131" s="1"/>
      <c r="C131" s="1"/>
      <c r="D131" s="1"/>
      <c r="E131" s="58">
        <f>IF(SUMIF($G$8:$G$13,$D132,$L$8:$L$13)=0,L131-0,IF(I131&lt;D$118,L131-0,IF(I132&gt;C$108,L131-D$109,IF(OR(L131=0,J131&lt;=C$118),L131-D$108,(H131/I131)-(J131/L131)))))</f>
        <v>0</v>
      </c>
      <c r="F131" s="100"/>
      <c r="G131" s="216" t="str">
        <f>CONCATENATE("Example ",A131)</f>
        <v>Example 7</v>
      </c>
      <c r="H131" s="195">
        <v>2000000</v>
      </c>
      <c r="I131" s="196">
        <v>2000000</v>
      </c>
      <c r="J131" s="218">
        <f>1-SUM(K131:L132)</f>
        <v>0.6</v>
      </c>
      <c r="K131" s="220">
        <f>SUMIF($G$8:$G$13,$D132,$K$8:$K$13)</f>
        <v>0.4</v>
      </c>
      <c r="L131" s="209">
        <f>IF(OR(I132&lt;C$108,I131&lt;D$118),0,IF(AND(I132&gt;C$109),D$108,IF(1-(I132*(1-K131)+K131)&lt;C$118,((1-C$118)-K131),I132*(1-K131))))</f>
        <v>0</v>
      </c>
      <c r="M131" s="223">
        <f>SUM(J131:L131)</f>
        <v>1</v>
      </c>
      <c r="N131" s="70"/>
      <c r="O131" s="71"/>
      <c r="P131" s="213" t="str">
        <f>CONCATENATE(IF(J131&gt;P$7,P$8,""),"",IF(AND(L131=0,I131&gt;0),P$9,""),CONCATENATE(IF(AE131="","",""),IF(AND(NOT(AB132=0),L131=AB132),AE132,AE131)),"",CONCATENATE(IF(L131=AC132,"",""),IF(AND(NOT(L131=AB132),L131&gt;0),P$10,"")))</f>
        <v>DHCD will only take 50% of Surplus Cash until all Developer Deferred Fees are Paid. The Local Gov can negotiate with Developer for part of the Developer's Share of Surplus Cash; however, the Developer's share can not go below 25%.</v>
      </c>
      <c r="Q131" s="214"/>
      <c r="R131" s="214"/>
      <c r="S131" s="214"/>
      <c r="T131" s="214"/>
      <c r="U131" s="214"/>
      <c r="V131" s="214"/>
      <c r="W131" s="214"/>
      <c r="X131" s="214"/>
      <c r="Y131" s="104"/>
      <c r="Z131" s="66"/>
      <c r="AA131" s="66"/>
      <c r="AB131" s="56"/>
      <c r="AC131" s="1"/>
      <c r="AD131" s="1"/>
      <c r="AE131" s="1"/>
      <c r="AF131" s="1"/>
      <c r="AG131" s="1"/>
      <c r="AH131" s="56"/>
      <c r="AI131" s="1"/>
      <c r="AJ131" s="1"/>
    </row>
    <row r="132" spans="1:36" ht="21" hidden="1" x14ac:dyDescent="0.25">
      <c r="A132" s="15"/>
      <c r="B132" s="1"/>
      <c r="C132" s="1"/>
      <c r="D132" s="15">
        <f>IF(I131&lt;D118,G$8,IF(I132&lt;=I$8,G$8,IF(I132&lt;=I$9,G$9,IF(I132&lt;=I$10,G$10,IF(I132&lt;=I$11,G$11,IF(I132&lt;=I$12,G$12,0))))))</f>
        <v>4</v>
      </c>
      <c r="E132" s="58">
        <f>(L131-SUMIF($G$8:$G$13,$D132,$L$8:$L$13))+(J131-SUMIF($G$8:$G$13,$D132,$M$8:$M$13))</f>
        <v>0</v>
      </c>
      <c r="F132" s="105"/>
      <c r="G132" s="217"/>
      <c r="H132" s="190">
        <f>H131/SUM($H131:$I131)</f>
        <v>0.5</v>
      </c>
      <c r="I132" s="191">
        <f>I131/SUM($H131:$I131)</f>
        <v>0.5</v>
      </c>
      <c r="J132" s="219"/>
      <c r="K132" s="221"/>
      <c r="L132" s="222"/>
      <c r="M132" s="224"/>
      <c r="N132" s="106"/>
      <c r="O132" s="107"/>
      <c r="P132" s="225"/>
      <c r="Q132" s="225"/>
      <c r="R132" s="225"/>
      <c r="S132" s="225"/>
      <c r="T132" s="225"/>
      <c r="U132" s="225"/>
      <c r="V132" s="225"/>
      <c r="W132" s="225"/>
      <c r="X132" s="225"/>
      <c r="Y132" s="192"/>
      <c r="Z132" s="66"/>
      <c r="AA132" s="66"/>
      <c r="AB132" s="114">
        <f>I132*B$89</f>
        <v>0.375</v>
      </c>
      <c r="AC132" s="114">
        <f>L131</f>
        <v>0</v>
      </c>
      <c r="AD132" s="114">
        <f>AC132-AB132</f>
        <v>-0.375</v>
      </c>
      <c r="AE132" s="114">
        <f>IF(I131=0,0,K131-D$108)</f>
        <v>0.15000000000000002</v>
      </c>
      <c r="AF132" s="1"/>
      <c r="AG132" s="1"/>
      <c r="AH132" s="193">
        <f>H131-H60</f>
        <v>0</v>
      </c>
      <c r="AI132" s="193">
        <f>I131-I60</f>
        <v>0</v>
      </c>
      <c r="AJ132" s="25">
        <f>L131-L60</f>
        <v>-0.25</v>
      </c>
    </row>
    <row r="133" spans="1:36" ht="21" hidden="1" x14ac:dyDescent="0.25">
      <c r="A133" s="15">
        <f>A131+1</f>
        <v>8</v>
      </c>
      <c r="B133" s="1"/>
      <c r="C133" s="1"/>
      <c r="D133" s="1"/>
      <c r="E133" s="58">
        <f>IF(SUMIF($G$8:$G$13,$D134,$L$8:$L$13)=0,L133-0,IF(I133&lt;D$118,L133-0,IF(I134&gt;C$108,L133-D$109,IF(OR(L133=0,J133&lt;=C$118),L133-D$108,(H133/I133)-(J133/L133)))))</f>
        <v>0</v>
      </c>
      <c r="F133" s="115"/>
      <c r="G133" s="203" t="str">
        <f>CONCATENATE("Example ",A133)</f>
        <v>Example 8</v>
      </c>
      <c r="H133" s="197">
        <v>2000000</v>
      </c>
      <c r="I133" s="198">
        <f>I64</f>
        <v>3050000</v>
      </c>
      <c r="J133" s="205">
        <f>1-SUM(K133:L134)</f>
        <v>0.5</v>
      </c>
      <c r="K133" s="207">
        <f>SUMIF($G$8:$G$13,$D134,$K$8:$K$13)</f>
        <v>0.25</v>
      </c>
      <c r="L133" s="209">
        <f>IF(OR(I134&lt;C$108,I133&lt;D$118),0,IF(AND(I134&gt;C$109),D$108,IF(1-(I134*(1-K133)+K133)&lt;C$118,((1-C$118)-K133),I134*(1-K133))))</f>
        <v>0.25</v>
      </c>
      <c r="M133" s="211">
        <f>SUM(J133:L133)</f>
        <v>1</v>
      </c>
      <c r="N133" s="116"/>
      <c r="O133" s="117"/>
      <c r="P133" s="213" t="str">
        <f>CONCATENATE(IF(J133&gt;P$7,P$8,""),"",IF(AND(L133=0,I133&gt;0),P$9,""),CONCATENATE(IF(AE133="","",""),IF(AND(NOT(AB134=0),L133=AB134),AE134,AE133)),"",CONCATENATE(IF(L133=AC134,"",""),IF(AND(NOT(L133=AB134),L133&gt;0),P$10,"")))</f>
        <v>The Local Government can not negotiate a higher share of the Surplus Cash with DHCD and/or Developer.</v>
      </c>
      <c r="Q133" s="214"/>
      <c r="R133" s="214"/>
      <c r="S133" s="214"/>
      <c r="T133" s="214"/>
      <c r="U133" s="214"/>
      <c r="V133" s="214"/>
      <c r="W133" s="214"/>
      <c r="X133" s="214"/>
      <c r="Y133" s="199"/>
      <c r="Z133" s="66"/>
      <c r="AA133" s="66"/>
      <c r="AB133" s="56"/>
      <c r="AC133" s="1"/>
      <c r="AD133" s="1"/>
      <c r="AE133" s="1"/>
      <c r="AF133" s="1"/>
      <c r="AG133" s="1"/>
      <c r="AH133" s="56"/>
      <c r="AI133" s="1"/>
      <c r="AJ133" s="1"/>
    </row>
    <row r="134" spans="1:36" ht="21.75" hidden="1" thickBot="1" x14ac:dyDescent="0.3">
      <c r="A134" s="1"/>
      <c r="B134" s="1"/>
      <c r="C134" s="1"/>
      <c r="D134" s="15">
        <f>IF(I133&lt;D118,G$8,IF(I134&lt;=I$8,G$8,IF(I134&lt;=I$9,G$9,IF(I134&lt;=I$10,G$10,IF(I134&lt;=I$11,G$11,IF(I134&lt;=I$12,G$12,0))))))</f>
        <v>5</v>
      </c>
      <c r="E134" s="58">
        <f>(L133-SUMIF($G$8:$G$13,$D134,$L$8:$L$13))+(J133-SUMIF($G$8:$G$13,$D134,$M$8:$M$13))</f>
        <v>0</v>
      </c>
      <c r="F134" s="88"/>
      <c r="G134" s="204"/>
      <c r="H134" s="200">
        <f>H133/SUM($H133:$I133)</f>
        <v>0.39603960396039606</v>
      </c>
      <c r="I134" s="201">
        <f>I133/SUM($H133:$I133)</f>
        <v>0.60396039603960394</v>
      </c>
      <c r="J134" s="206"/>
      <c r="K134" s="208"/>
      <c r="L134" s="210"/>
      <c r="M134" s="212"/>
      <c r="N134" s="92"/>
      <c r="O134" s="89"/>
      <c r="P134" s="215"/>
      <c r="Q134" s="215"/>
      <c r="R134" s="215"/>
      <c r="S134" s="215"/>
      <c r="T134" s="215"/>
      <c r="U134" s="215"/>
      <c r="V134" s="215"/>
      <c r="W134" s="215"/>
      <c r="X134" s="215"/>
      <c r="Y134" s="202"/>
      <c r="Z134" s="66"/>
      <c r="AA134" s="66"/>
      <c r="AB134" s="114">
        <f>I134*B$89</f>
        <v>0.45297029702970293</v>
      </c>
      <c r="AC134" s="114">
        <f>L133</f>
        <v>0.25</v>
      </c>
      <c r="AD134" s="114">
        <f>AC134-AB134</f>
        <v>-0.20297029702970293</v>
      </c>
      <c r="AE134" s="114">
        <f>IF(I133=0,0,K133-D$108)</f>
        <v>0</v>
      </c>
      <c r="AF134" s="1"/>
      <c r="AG134" s="1"/>
      <c r="AH134" s="193">
        <f>H133-H64</f>
        <v>0</v>
      </c>
      <c r="AI134" s="193">
        <f>I133-I64</f>
        <v>0</v>
      </c>
      <c r="AJ134" s="25">
        <f>L133-L64</f>
        <v>-0.125</v>
      </c>
    </row>
    <row r="135" spans="1:36" ht="3.95" hidden="1" customHeight="1" x14ac:dyDescent="0.25">
      <c r="A135" s="1"/>
      <c r="B135" s="1"/>
      <c r="C135" s="1"/>
      <c r="D135" s="1"/>
      <c r="E135" s="118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6" hidden="1" x14ac:dyDescent="0.25">
      <c r="A136" s="1"/>
      <c r="B136" s="1"/>
      <c r="C136" s="1"/>
      <c r="D136" s="1"/>
      <c r="E136" s="118"/>
      <c r="F136" s="1"/>
      <c r="G136" s="1" t="s">
        <v>72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6" ht="3.95" hidden="1" customHeight="1" x14ac:dyDescent="0.25">
      <c r="A137" s="1"/>
      <c r="B137" s="1"/>
      <c r="C137" s="1"/>
      <c r="D137" s="1"/>
      <c r="E137" s="118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6" hidden="1" x14ac:dyDescent="0.25">
      <c r="A138" s="1"/>
      <c r="B138" s="1"/>
      <c r="C138" s="1"/>
      <c r="D138" s="1"/>
      <c r="E138" s="118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6" x14ac:dyDescent="0.25">
      <c r="A139" s="1"/>
      <c r="B139" s="1"/>
      <c r="C139" s="1"/>
      <c r="D139" s="1"/>
      <c r="E139" s="118"/>
      <c r="F139" s="1"/>
      <c r="G139" s="1"/>
      <c r="H139" s="1"/>
      <c r="I139" s="1"/>
      <c r="J139" s="1"/>
      <c r="K139" s="1"/>
      <c r="L139" s="25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6" hidden="1" x14ac:dyDescent="0.25">
      <c r="A140" s="1"/>
      <c r="B140" s="1"/>
      <c r="C140" s="1"/>
      <c r="D140" s="1"/>
      <c r="E140" s="118"/>
      <c r="F140" s="1"/>
      <c r="G140" s="1" t="str">
        <f>CONCATENATE("a) Local Portion Less Than ",TEXT(I9,"0%")," of Soft Debt -- Developer Split of ",TEXT(K9,"0%")," (up to ",TEXT(K9-B$118,"0%")," available for Local Gov)")</f>
        <v>a) Local Portion Less Than 20% of Soft Debt -- Developer Split of 30% (up to 5% available for Local Gov)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6" hidden="1" x14ac:dyDescent="0.25">
      <c r="A141" s="1"/>
      <c r="B141" s="1"/>
      <c r="C141" s="1"/>
      <c r="D141" s="1"/>
      <c r="E141" s="118"/>
      <c r="F141" s="1"/>
      <c r="G141" s="1" t="str">
        <f>CONCATENATE("b) Local Portion Between ",TEXT(I9,"0%")," and ",TEXT(I10,"0%")," of Soft Debt -- Developer Split of ",TEXT(K10,"0%")," (up to ",TEXT(K10-B$118,"0%")," available for Local Gov)")</f>
        <v>b) Local Portion Between 20% and 40% of Soft Debt -- Developer Split of 35% (up to 10% available for Local Gov)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6" hidden="1" x14ac:dyDescent="0.25">
      <c r="A142" s="1"/>
      <c r="B142" s="1"/>
      <c r="C142" s="1"/>
      <c r="D142" s="1"/>
      <c r="E142" s="118"/>
      <c r="F142" s="1"/>
      <c r="G142" s="1" t="str">
        <f>CONCATENATE("c) Local Portion Between ",TEXT(I10,"0%")," and ",TEXT(I11,"0%")," of Soft Debt -- Developer Split of ",TEXT(K11,"0%")," (up to ",TEXT(K11-B$118,"0%")," available for Local Gov)")</f>
        <v>c) Local Portion Between 40% and 60% of Soft Debt -- Developer Split of 40% (up to 15% available for Local Gov)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6" hidden="1" x14ac:dyDescent="0.25">
      <c r="A143" s="1"/>
      <c r="B143" s="1"/>
      <c r="C143" s="1"/>
      <c r="D143" s="1"/>
      <c r="E143" s="118"/>
      <c r="F143" s="1"/>
      <c r="G143" s="1" t="str">
        <f>CONCATENATE("d) Local Portion Over ",TEXT(I11,"0%")," of Soft Debt -- Developer Split of ",TEXT(K12,"0%")," with ",TEXT(L12,"0%")," mandated to the Local Gov")</f>
        <v>d) Local Portion Over 60% of Soft Debt -- Developer Split of 25% with 25% mandated to the Local Gov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6" x14ac:dyDescent="0.25">
      <c r="A144" s="1"/>
      <c r="B144" s="1"/>
      <c r="C144" s="1"/>
      <c r="D144" s="1"/>
      <c r="E144" s="118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x14ac:dyDescent="0.25">
      <c r="A145" s="1"/>
      <c r="B145" s="1"/>
      <c r="C145" s="1"/>
      <c r="D145" s="1"/>
      <c r="E145" s="118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x14ac:dyDescent="0.25">
      <c r="A146" s="1"/>
      <c r="B146" s="1"/>
      <c r="C146" s="1"/>
      <c r="D146" s="1"/>
      <c r="E146" s="118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x14ac:dyDescent="0.25">
      <c r="A147" s="1"/>
      <c r="B147" s="1"/>
      <c r="C147" s="1"/>
      <c r="D147" s="1"/>
      <c r="E147" s="118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x14ac:dyDescent="0.25">
      <c r="A148" s="1"/>
      <c r="B148" s="1"/>
      <c r="C148" s="1"/>
      <c r="D148" s="1"/>
      <c r="E148" s="118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x14ac:dyDescent="0.25">
      <c r="A149" s="1"/>
      <c r="B149" s="1"/>
      <c r="C149" s="1"/>
      <c r="D149" s="1"/>
      <c r="E149" s="118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x14ac:dyDescent="0.25">
      <c r="A150" s="1"/>
      <c r="B150" s="1"/>
      <c r="C150" s="1"/>
      <c r="D150" s="1"/>
      <c r="E150" s="118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x14ac:dyDescent="0.25">
      <c r="A151" s="1"/>
      <c r="B151" s="1"/>
      <c r="C151" s="1"/>
      <c r="D151" s="1"/>
      <c r="E151" s="118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x14ac:dyDescent="0.25">
      <c r="A152" s="1"/>
      <c r="B152" s="1"/>
      <c r="C152" s="1"/>
      <c r="D152" s="1"/>
      <c r="E152" s="118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x14ac:dyDescent="0.25">
      <c r="A153" s="1"/>
      <c r="B153" s="1"/>
      <c r="C153" s="1"/>
      <c r="D153" s="1"/>
      <c r="E153" s="118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x14ac:dyDescent="0.25">
      <c r="A154" s="1"/>
      <c r="B154" s="1"/>
      <c r="C154" s="1"/>
      <c r="D154" s="1"/>
      <c r="E154" s="118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x14ac:dyDescent="0.25">
      <c r="A155" s="1"/>
      <c r="B155" s="1"/>
      <c r="C155" s="1"/>
      <c r="D155" s="1"/>
      <c r="E155" s="118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x14ac:dyDescent="0.25">
      <c r="A156" s="1"/>
      <c r="B156" s="1"/>
      <c r="C156" s="1"/>
      <c r="D156" s="1"/>
      <c r="E156" s="118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x14ac:dyDescent="0.25">
      <c r="A157" s="1"/>
      <c r="B157" s="1"/>
      <c r="C157" s="1"/>
      <c r="D157" s="1"/>
      <c r="E157" s="118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x14ac:dyDescent="0.25">
      <c r="A158" s="1"/>
      <c r="B158" s="1"/>
      <c r="C158" s="1"/>
      <c r="D158" s="1"/>
      <c r="E158" s="118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x14ac:dyDescent="0.25">
      <c r="A159" s="1"/>
      <c r="B159" s="1"/>
      <c r="C159" s="1"/>
      <c r="D159" s="1"/>
      <c r="E159" s="118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x14ac:dyDescent="0.25">
      <c r="A160" s="1"/>
      <c r="B160" s="1"/>
      <c r="C160" s="1"/>
      <c r="D160" s="1"/>
      <c r="E160" s="118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x14ac:dyDescent="0.25">
      <c r="A161" s="1"/>
      <c r="B161" s="1"/>
      <c r="C161" s="1"/>
      <c r="D161" s="1"/>
      <c r="E161" s="118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x14ac:dyDescent="0.25">
      <c r="A162" s="1"/>
      <c r="B162" s="1"/>
      <c r="C162" s="1"/>
      <c r="D162" s="1"/>
      <c r="E162" s="118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</sheetData>
  <sheetProtection sheet="1" objects="1" scenarios="1"/>
  <mergeCells count="161">
    <mergeCell ref="G6:G7"/>
    <mergeCell ref="P35:T35"/>
    <mergeCell ref="F36:G37"/>
    <mergeCell ref="H36:H38"/>
    <mergeCell ref="I36:I38"/>
    <mergeCell ref="J36:J39"/>
    <mergeCell ref="K36:K39"/>
    <mergeCell ref="L36:L39"/>
    <mergeCell ref="M36:M39"/>
    <mergeCell ref="P36:T39"/>
    <mergeCell ref="M40:M43"/>
    <mergeCell ref="P40:T43"/>
    <mergeCell ref="H42:H43"/>
    <mergeCell ref="I42:I43"/>
    <mergeCell ref="G44:G47"/>
    <mergeCell ref="H44:H45"/>
    <mergeCell ref="I44:I45"/>
    <mergeCell ref="J44:J47"/>
    <mergeCell ref="K44:K47"/>
    <mergeCell ref="L44:L47"/>
    <mergeCell ref="G40:G43"/>
    <mergeCell ref="H40:H41"/>
    <mergeCell ref="I40:I41"/>
    <mergeCell ref="J40:J43"/>
    <mergeCell ref="K40:K43"/>
    <mergeCell ref="L40:L43"/>
    <mergeCell ref="M44:M47"/>
    <mergeCell ref="P44:T47"/>
    <mergeCell ref="H46:H47"/>
    <mergeCell ref="I46:I47"/>
    <mergeCell ref="G48:G51"/>
    <mergeCell ref="H48:H49"/>
    <mergeCell ref="I48:I49"/>
    <mergeCell ref="J48:J51"/>
    <mergeCell ref="K48:K51"/>
    <mergeCell ref="L48:L51"/>
    <mergeCell ref="M48:M51"/>
    <mergeCell ref="P48:T51"/>
    <mergeCell ref="H50:H51"/>
    <mergeCell ref="I50:I51"/>
    <mergeCell ref="G52:G55"/>
    <mergeCell ref="H52:H53"/>
    <mergeCell ref="I52:I53"/>
    <mergeCell ref="J52:J55"/>
    <mergeCell ref="K52:K55"/>
    <mergeCell ref="L52:L55"/>
    <mergeCell ref="M52:M55"/>
    <mergeCell ref="P52:T55"/>
    <mergeCell ref="H54:H55"/>
    <mergeCell ref="I54:I55"/>
    <mergeCell ref="G56:G59"/>
    <mergeCell ref="H56:H57"/>
    <mergeCell ref="I56:I57"/>
    <mergeCell ref="J56:J59"/>
    <mergeCell ref="K56:K59"/>
    <mergeCell ref="L56:L59"/>
    <mergeCell ref="M56:M59"/>
    <mergeCell ref="P56:T59"/>
    <mergeCell ref="H58:H59"/>
    <mergeCell ref="I58:I59"/>
    <mergeCell ref="G60:G63"/>
    <mergeCell ref="H60:H61"/>
    <mergeCell ref="I60:I61"/>
    <mergeCell ref="J60:J63"/>
    <mergeCell ref="K60:K63"/>
    <mergeCell ref="L60:L63"/>
    <mergeCell ref="M60:M63"/>
    <mergeCell ref="P60:T63"/>
    <mergeCell ref="H62:H63"/>
    <mergeCell ref="I62:I63"/>
    <mergeCell ref="G64:G67"/>
    <mergeCell ref="H64:H65"/>
    <mergeCell ref="I64:I65"/>
    <mergeCell ref="J64:J67"/>
    <mergeCell ref="K64:K67"/>
    <mergeCell ref="L64:L67"/>
    <mergeCell ref="M64:M67"/>
    <mergeCell ref="P64:T67"/>
    <mergeCell ref="H66:H67"/>
    <mergeCell ref="I66:I67"/>
    <mergeCell ref="J73:K73"/>
    <mergeCell ref="L73:M73"/>
    <mergeCell ref="N73:Q74"/>
    <mergeCell ref="S73:Y74"/>
    <mergeCell ref="J74:K74"/>
    <mergeCell ref="L74:M74"/>
    <mergeCell ref="G87:X87"/>
    <mergeCell ref="G88:X88"/>
    <mergeCell ref="G89:X89"/>
    <mergeCell ref="G90:X90"/>
    <mergeCell ref="G91:X91"/>
    <mergeCell ref="G92:X92"/>
    <mergeCell ref="H79:M80"/>
    <mergeCell ref="P79:Y80"/>
    <mergeCell ref="G83:X83"/>
    <mergeCell ref="G84:X84"/>
    <mergeCell ref="G85:X85"/>
    <mergeCell ref="G86:X86"/>
    <mergeCell ref="G107:X107"/>
    <mergeCell ref="G108:X108"/>
    <mergeCell ref="G109:X109"/>
    <mergeCell ref="G110:X110"/>
    <mergeCell ref="G111:X111"/>
    <mergeCell ref="G112:X112"/>
    <mergeCell ref="O95:R95"/>
    <mergeCell ref="T95:V95"/>
    <mergeCell ref="W95:Y95"/>
    <mergeCell ref="O96:R96"/>
    <mergeCell ref="T96:V96"/>
    <mergeCell ref="W96:Y96"/>
    <mergeCell ref="G121:G122"/>
    <mergeCell ref="J121:J122"/>
    <mergeCell ref="K121:K122"/>
    <mergeCell ref="L121:L122"/>
    <mergeCell ref="M121:M122"/>
    <mergeCell ref="P121:X122"/>
    <mergeCell ref="G113:X113"/>
    <mergeCell ref="G114:X116"/>
    <mergeCell ref="P118:X118"/>
    <mergeCell ref="G119:G120"/>
    <mergeCell ref="J119:J120"/>
    <mergeCell ref="K119:K120"/>
    <mergeCell ref="L119:L120"/>
    <mergeCell ref="M119:M120"/>
    <mergeCell ref="P119:X120"/>
    <mergeCell ref="G125:G126"/>
    <mergeCell ref="J125:J126"/>
    <mergeCell ref="K125:K126"/>
    <mergeCell ref="L125:L126"/>
    <mergeCell ref="M125:M126"/>
    <mergeCell ref="P125:X126"/>
    <mergeCell ref="G123:G124"/>
    <mergeCell ref="J123:J124"/>
    <mergeCell ref="K123:K124"/>
    <mergeCell ref="L123:L124"/>
    <mergeCell ref="M123:M124"/>
    <mergeCell ref="P123:X124"/>
    <mergeCell ref="G129:G130"/>
    <mergeCell ref="J129:J130"/>
    <mergeCell ref="K129:K130"/>
    <mergeCell ref="L129:L130"/>
    <mergeCell ref="M129:M130"/>
    <mergeCell ref="P129:X130"/>
    <mergeCell ref="G127:G128"/>
    <mergeCell ref="J127:J128"/>
    <mergeCell ref="K127:K128"/>
    <mergeCell ref="L127:L128"/>
    <mergeCell ref="M127:M128"/>
    <mergeCell ref="P127:X128"/>
    <mergeCell ref="G133:G134"/>
    <mergeCell ref="J133:J134"/>
    <mergeCell ref="K133:K134"/>
    <mergeCell ref="L133:L134"/>
    <mergeCell ref="M133:M134"/>
    <mergeCell ref="P133:X134"/>
    <mergeCell ref="G131:G132"/>
    <mergeCell ref="J131:J132"/>
    <mergeCell ref="K131:K132"/>
    <mergeCell ref="L131:L132"/>
    <mergeCell ref="M131:M132"/>
    <mergeCell ref="P131:X132"/>
  </mergeCells>
  <conditionalFormatting sqref="I96">
    <cfRule type="expression" dxfId="0" priority="1" stopIfTrue="1">
      <formula>SUM($H$96)=0</formula>
    </cfRule>
  </conditionalFormatting>
  <dataValidations count="3">
    <dataValidation type="list" allowBlank="1" showInputMessage="1" showErrorMessage="1" sqref="I96">
      <formula1>"YES, NO"</formula1>
    </dataValidation>
    <dataValidation type="custom" errorStyle="warning" allowBlank="1" showInputMessage="1" showErrorMessage="1" errorTitle="Local Government  Debt" error="Please verify that the amount of Local Government Soft Debt is different than the amount entered above.  The two amounts should be the same." sqref="L73:M73">
      <formula1>AND(SUM(I36)&gt;0,I36=L73)</formula1>
    </dataValidation>
    <dataValidation type="custom" errorStyle="information" allowBlank="1" showInputMessage="1" showErrorMessage="1" errorTitle="RHF Debt" error="Please verify the amount of RHF Soft Debt is different than the amount entered above (should only be when other DHCD Soft Debt is in the Project Sources)" sqref="J73:K73">
      <formula1>AND(SUM(H36)&gt;0,H36=J73)</formula1>
    </dataValidation>
  </dataValidations>
  <printOptions horizontalCentered="1"/>
  <pageMargins left="0.2" right="0.2" top="0.1" bottom="0.15" header="0.3" footer="0.15"/>
  <pageSetup scale="85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2809D534E2E4791F34A639EDE4B8D" ma:contentTypeVersion="4" ma:contentTypeDescription="Create a new document." ma:contentTypeScope="" ma:versionID="f952c9c9f8901f2d17956aa47c4ffba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f1912dda2c34800ae3d5e8677634f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8B4230-AF5E-4926-8928-EE2E0AD69112}"/>
</file>

<file path=customXml/itemProps2.xml><?xml version="1.0" encoding="utf-8"?>
<ds:datastoreItem xmlns:ds="http://schemas.openxmlformats.org/officeDocument/2006/customXml" ds:itemID="{91D41839-0608-4A39-9233-4E1BAF2D2904}"/>
</file>

<file path=customXml/itemProps3.xml><?xml version="1.0" encoding="utf-8"?>
<ds:datastoreItem xmlns:ds="http://schemas.openxmlformats.org/officeDocument/2006/customXml" ds:itemID="{32CBD4EF-1530-473C-8809-162A00FB44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Surplus Cash Note Calculator</vt:lpstr>
      <vt:lpstr>'Surplus Cash Note Calculator'!Print_Area</vt:lpstr>
    </vt:vector>
  </TitlesOfParts>
  <Company>State of Maryland- DHCD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Surplus_Cash_Calculator</dc:title>
  <dc:creator>Silver, Steve</dc:creator>
  <cp:lastModifiedBy>Silver, Steve</cp:lastModifiedBy>
  <cp:lastPrinted>2014-07-09T19:29:08Z</cp:lastPrinted>
  <dcterms:created xsi:type="dcterms:W3CDTF">2014-07-09T19:16:18Z</dcterms:created>
  <dcterms:modified xsi:type="dcterms:W3CDTF">2014-07-09T20:19:03Z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537946197</vt:i4>
  </property>
  <property fmtid="{D5CDD505-2E9C-101B-9397-08002B2CF9AE}" pid="3" name="_NewReviewCycle">
    <vt:lpwstr/>
  </property>
  <property fmtid="{D5CDD505-2E9C-101B-9397-08002B2CF9AE}" pid="4" name="_EmailSubject">
    <vt:lpwstr>Multifamily Housing Notice 14-06 --  Governor O'Malley signs 2014 QAP...</vt:lpwstr>
  </property>
  <property fmtid="{D5CDD505-2E9C-101B-9397-08002B2CF9AE}" pid="5" name="_AuthorEmail">
    <vt:lpwstr>Sylvester@dhcd.state.md.us</vt:lpwstr>
  </property>
  <property fmtid="{D5CDD505-2E9C-101B-9397-08002B2CF9AE}" pid="6" name="_AuthorEmailDisplayName">
    <vt:lpwstr>Sylvester, Pat</vt:lpwstr>
  </property>
  <property fmtid="{D5CDD505-2E9C-101B-9397-08002B2CF9AE}" pid="7" name="ContentTypeId">
    <vt:lpwstr>0x01010012D2809D534E2E4791F34A639EDE4B8D</vt:lpwstr>
  </property>
</Properties>
</file>